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https://bluejayadvisors.sharepoint.com/sites/BJFS/Shared Documents/Grants/2026 BUILD MaineDOT Brewer Improvements/Upload Items &amp; Attachments/"/>
    </mc:Choice>
  </mc:AlternateContent>
  <xr:revisionPtr revIDLastSave="14" documentId="8_{E4EF76EC-11DF-4954-A463-522E7EEF9E74}" xr6:coauthVersionLast="47" xr6:coauthVersionMax="47" xr10:uidLastSave="{E33F0475-97A7-40C7-8460-173B2DA0211B}"/>
  <bookViews>
    <workbookView xWindow="-110" yWindow="-110" windowWidth="19420" windowHeight="11500" tabRatio="856" xr2:uid="{C0D975F7-03F9-472C-B5C7-82DE3A8D3323}"/>
  </bookViews>
  <sheets>
    <sheet name="Overview" sheetId="1" r:id="rId1"/>
    <sheet name="Inputs" sheetId="36" r:id="rId2"/>
    <sheet name="Outputs" sheetId="47" r:id="rId3"/>
    <sheet name="Summary" sheetId="11" r:id="rId4"/>
    <sheet name="Final Results" sheetId="30" r:id="rId5"/>
    <sheet name="Project Information" sheetId="28" r:id="rId6"/>
    <sheet name="Parameter Values" sheetId="12" r:id="rId7"/>
    <sheet name="User Volumes" sheetId="34" r:id="rId8"/>
    <sheet name="Vehicle_Volumes_by_FocusArea" sheetId="45" r:id="rId9"/>
    <sheet name="Maine_Population_Data" sheetId="46" r:id="rId10"/>
    <sheet name="Capital Costs" sheetId="2" r:id="rId11"/>
    <sheet name="Project Budget" sheetId="38" r:id="rId12"/>
    <sheet name="Operations and Maintenance" sheetId="3" r:id="rId13"/>
    <sheet name="Safety" sheetId="31" r:id="rId14"/>
    <sheet name="CMFs_by_FocusArea" sheetId="44" r:id="rId15"/>
    <sheet name="CrashData_Summary_by_FocusArea" sheetId="43" r:id="rId16"/>
    <sheet name="CrashData_Table" sheetId="39" r:id="rId17"/>
    <sheet name="Travel Time Savings" sheetId="32" r:id="rId18"/>
    <sheet name="Vehicle Operating Cost Savings" sheetId="33" r:id="rId19"/>
    <sheet name="Emissions Reduction" sheetId="20" r:id="rId20"/>
    <sheet name="Other Highway Use Externalities" sheetId="35" r:id="rId21"/>
    <sheet name="Amenity Benefits" sheetId="21" r:id="rId22"/>
    <sheet name="Health Benefits" sheetId="22" r:id="rId23"/>
    <sheet name="Residual Value" sheetId="23" r:id="rId24"/>
    <sheet name="Other Benefit 1" sheetId="24" r:id="rId25"/>
    <sheet name="Other Benefit 2" sheetId="25" r:id="rId26"/>
    <sheet name="Other Benefit 3" sheetId="26" r:id="rId27"/>
    <sheet name="Other Benefit 4" sheetId="27" r:id="rId28"/>
  </sheets>
  <externalReferences>
    <externalReference r:id="rId29"/>
    <externalReference r:id="rId30"/>
    <externalReference r:id="rId31"/>
    <externalReference r:id="rId32"/>
  </externalReferences>
  <definedNames>
    <definedName name="_xlnm._FilterDatabase" localSheetId="16" hidden="1">CrashData_Table!$A$1:$BJ$299</definedName>
    <definedName name="_ftnref1" localSheetId="14">CMFs_by_FocusArea!$A$26</definedName>
    <definedName name="ColumnTitle1">#REF!</definedName>
    <definedName name="ColumnTitleRegion11..B26.1">[1]Proposal!#REF!</definedName>
    <definedName name="ColumnTitleRegion12..B28.1">[1]Proposal!#REF!</definedName>
    <definedName name="ColumnTitleRegion13..B30.1">[1]Proposal!#REF!</definedName>
    <definedName name="ColumnTitleRegion14..D33">[1]Proposal!#REF!</definedName>
    <definedName name="ColumnTitleRegion8..B20.1">[1]Proposal!#REF!</definedName>
    <definedName name="Description">[2]Pricing!$A$3:$A$249</definedName>
    <definedName name="Equip">#REF!</definedName>
    <definedName name="Equip2">#REF!</definedName>
    <definedName name="Equipment">#REF!</definedName>
    <definedName name="faf">#REF!</definedName>
    <definedName name="FML">[3]Sheet2!$A$42:$A$66</definedName>
    <definedName name="IType">'[4]Construction - Do Not Delete'!$D$29:$D$31</definedName>
    <definedName name="Labour">#REF!</definedName>
    <definedName name="Labour2">#REF!</definedName>
    <definedName name="Labour3">#REF!</definedName>
    <definedName name="Material">[2]Pricing!$A$3:$J$249</definedName>
    <definedName name="Other">[1]Proposal!$E$39</definedName>
    <definedName name="_xlnm.Print_Area" localSheetId="9">Maine_Population_Data!$A$4:$F$6</definedName>
    <definedName name="_xlnm.Print_Titles" localSheetId="9">Maine_Population_Data!$4:$5</definedName>
    <definedName name="RowTitleRegion1..G35">#REF!</definedName>
    <definedName name="Subtotal">#REF!</definedName>
    <definedName name="TaxRate">[1]Proposal!#REF!</definedName>
  </definedNames>
  <calcPr calcId="191029"/>
  <pivotCaches>
    <pivotCache cacheId="0" r:id="rId3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22" l="1"/>
  <c r="B33" i="22"/>
  <c r="B32" i="22"/>
  <c r="B31" i="22"/>
  <c r="B30" i="22"/>
  <c r="B29" i="22"/>
  <c r="B28" i="22"/>
  <c r="B27" i="22"/>
  <c r="B26" i="22"/>
  <c r="B25" i="22"/>
  <c r="B24" i="22"/>
  <c r="B23" i="22"/>
  <c r="B22" i="22"/>
  <c r="B21" i="22"/>
  <c r="B20" i="22"/>
  <c r="B19" i="22"/>
  <c r="B18" i="22"/>
  <c r="B17" i="22"/>
  <c r="B16" i="22"/>
  <c r="B15" i="22"/>
  <c r="B30" i="21" l="1"/>
  <c r="B29" i="21"/>
  <c r="B28" i="21"/>
  <c r="B27" i="21"/>
  <c r="B26" i="21"/>
  <c r="B25" i="21"/>
  <c r="B24" i="21"/>
  <c r="B23" i="21"/>
  <c r="B22" i="21"/>
  <c r="B21" i="21"/>
  <c r="B20" i="21"/>
  <c r="B19" i="21"/>
  <c r="B18" i="21"/>
  <c r="B17" i="21"/>
  <c r="B16" i="21"/>
  <c r="B15" i="21"/>
  <c r="B14" i="21"/>
  <c r="B13" i="21"/>
  <c r="B12" i="21"/>
  <c r="B11" i="21"/>
  <c r="H6" i="46"/>
  <c r="I40" i="21"/>
  <c r="H40" i="21"/>
  <c r="G40" i="21"/>
  <c r="I38" i="21"/>
  <c r="H38" i="21"/>
  <c r="G38" i="21"/>
  <c r="D5" i="47"/>
  <c r="E22" i="36" l="1"/>
  <c r="B7" i="28"/>
  <c r="I30" i="21"/>
  <c r="I31" i="21" s="1"/>
  <c r="H31" i="21"/>
  <c r="H30" i="21"/>
  <c r="G30" i="21"/>
  <c r="G31" i="21" s="1"/>
  <c r="I24" i="21"/>
  <c r="I25" i="21" s="1"/>
  <c r="H24" i="21"/>
  <c r="H25" i="21" s="1"/>
  <c r="G24" i="21"/>
  <c r="G25" i="21" s="1"/>
  <c r="I19" i="21"/>
  <c r="I17" i="21"/>
  <c r="H19" i="21"/>
  <c r="H33" i="21" s="1"/>
  <c r="H17" i="21"/>
  <c r="G17" i="21"/>
  <c r="C22" i="3"/>
  <c r="B19" i="3"/>
  <c r="B15" i="3"/>
  <c r="C20" i="3"/>
  <c r="B8" i="3"/>
  <c r="C27" i="3"/>
  <c r="B27" i="3"/>
  <c r="C26" i="3"/>
  <c r="B26" i="3"/>
  <c r="C25" i="3"/>
  <c r="B25" i="3"/>
  <c r="C24" i="3"/>
  <c r="B24" i="3"/>
  <c r="C23" i="3"/>
  <c r="B23" i="3"/>
  <c r="B22" i="3"/>
  <c r="C21" i="3"/>
  <c r="B21" i="3"/>
  <c r="B20" i="3"/>
  <c r="C19" i="3"/>
  <c r="C18" i="3"/>
  <c r="B18" i="3"/>
  <c r="C17" i="3"/>
  <c r="B17" i="3"/>
  <c r="C16" i="3"/>
  <c r="B16" i="3"/>
  <c r="C15" i="3"/>
  <c r="C14" i="3"/>
  <c r="B14" i="3"/>
  <c r="C13" i="3"/>
  <c r="B13" i="3"/>
  <c r="C12" i="3"/>
  <c r="B12" i="3"/>
  <c r="C11" i="3"/>
  <c r="B11" i="3"/>
  <c r="C10" i="3"/>
  <c r="B10" i="3"/>
  <c r="C9" i="3"/>
  <c r="B9" i="3"/>
  <c r="C8" i="3"/>
  <c r="U24" i="3"/>
  <c r="U23" i="3"/>
  <c r="W25" i="3"/>
  <c r="V25" i="3"/>
  <c r="W18" i="3"/>
  <c r="V18" i="3"/>
  <c r="Q25" i="3"/>
  <c r="P25" i="3"/>
  <c r="Q18" i="3"/>
  <c r="P18" i="3"/>
  <c r="K25" i="3"/>
  <c r="J25" i="3"/>
  <c r="K18" i="3"/>
  <c r="J18" i="3"/>
  <c r="I33" i="21" l="1"/>
  <c r="G19" i="21"/>
  <c r="G33" i="21" s="1"/>
  <c r="B11" i="2" l="1"/>
  <c r="B10" i="2"/>
  <c r="B9" i="2"/>
  <c r="E28" i="36"/>
  <c r="E27" i="36"/>
  <c r="E26" i="36"/>
  <c r="H10" i="34"/>
  <c r="G10" i="34"/>
  <c r="F10" i="34"/>
  <c r="D8" i="36"/>
  <c r="E8" i="36"/>
  <c r="E23" i="36"/>
  <c r="I10" i="34" s="1"/>
  <c r="D10" i="36"/>
  <c r="D9" i="36"/>
  <c r="D7" i="36"/>
  <c r="E10" i="36"/>
  <c r="E9" i="36"/>
  <c r="E7" i="36"/>
  <c r="H19" i="45"/>
  <c r="H20" i="45" s="1"/>
  <c r="E14" i="45"/>
  <c r="B14" i="45"/>
  <c r="B13" i="45"/>
  <c r="C12" i="44"/>
  <c r="A4" i="2"/>
  <c r="B20" i="45" l="1"/>
  <c r="B26" i="45" s="1"/>
  <c r="B27" i="45" s="1"/>
  <c r="I11" i="34"/>
  <c r="I12" i="34" s="1"/>
  <c r="I13" i="34" s="1"/>
  <c r="I14" i="34" s="1"/>
  <c r="I15" i="34" s="1"/>
  <c r="I16" i="34" s="1"/>
  <c r="I17" i="34" s="1"/>
  <c r="I18" i="34" s="1"/>
  <c r="I19" i="34" s="1"/>
  <c r="I20" i="34" s="1"/>
  <c r="I21" i="34" s="1"/>
  <c r="I22" i="34" s="1"/>
  <c r="I23" i="34" s="1"/>
  <c r="I24" i="34" s="1"/>
  <c r="I25" i="34" s="1"/>
  <c r="I26" i="34" s="1"/>
  <c r="I27" i="34" s="1"/>
  <c r="I28" i="34" s="1"/>
  <c r="I29" i="34" s="1"/>
  <c r="G11" i="34"/>
  <c r="G12" i="34" s="1"/>
  <c r="H11" i="34"/>
  <c r="H12" i="34" s="1"/>
  <c r="H13" i="34" s="1"/>
  <c r="H14" i="34" s="1"/>
  <c r="H15" i="34" s="1"/>
  <c r="H16" i="34" s="1"/>
  <c r="H17" i="34" s="1"/>
  <c r="H18" i="34" s="1"/>
  <c r="H19" i="34" s="1"/>
  <c r="H20" i="34" s="1"/>
  <c r="H21" i="34" s="1"/>
  <c r="H22" i="34" s="1"/>
  <c r="H23" i="34" s="1"/>
  <c r="H24" i="34" s="1"/>
  <c r="H25" i="34" s="1"/>
  <c r="H26" i="34" s="1"/>
  <c r="H27" i="34" s="1"/>
  <c r="H28" i="34" s="1"/>
  <c r="H29" i="34" s="1"/>
  <c r="F11" i="34"/>
  <c r="F12" i="34" s="1"/>
  <c r="F13" i="34" s="1"/>
  <c r="F14" i="34" s="1"/>
  <c r="F15" i="34" s="1"/>
  <c r="F16" i="34" s="1"/>
  <c r="F17" i="34" s="1"/>
  <c r="F18" i="34" s="1"/>
  <c r="F19" i="34" s="1"/>
  <c r="F20" i="34" s="1"/>
  <c r="F21" i="34" s="1"/>
  <c r="F22" i="34" s="1"/>
  <c r="F23" i="34" s="1"/>
  <c r="F24" i="34" s="1"/>
  <c r="F25" i="34" s="1"/>
  <c r="F26" i="34" s="1"/>
  <c r="F27" i="34" s="1"/>
  <c r="F28" i="34" s="1"/>
  <c r="F29" i="34" s="1"/>
  <c r="L26" i="31"/>
  <c r="L27" i="31"/>
  <c r="L28" i="31"/>
  <c r="L29" i="31"/>
  <c r="L30" i="31"/>
  <c r="L31" i="31"/>
  <c r="L32" i="31"/>
  <c r="AD26" i="31"/>
  <c r="AD27" i="31"/>
  <c r="AD28" i="31"/>
  <c r="AD29" i="31"/>
  <c r="AD30" i="31"/>
  <c r="AD31" i="31"/>
  <c r="AD32" i="31"/>
  <c r="AA27" i="31"/>
  <c r="AF27" i="31" s="1"/>
  <c r="AG27" i="31" s="1"/>
  <c r="U32" i="31"/>
  <c r="U31" i="31"/>
  <c r="U30" i="31"/>
  <c r="U29" i="31"/>
  <c r="U28" i="31"/>
  <c r="U27" i="31"/>
  <c r="U26" i="31"/>
  <c r="AF31" i="31"/>
  <c r="AG31" i="31" s="1"/>
  <c r="AB31" i="31"/>
  <c r="W31" i="31"/>
  <c r="X31" i="31" s="1"/>
  <c r="S31" i="31"/>
  <c r="W30" i="31"/>
  <c r="X30" i="31" s="1"/>
  <c r="W29" i="31"/>
  <c r="X29" i="31" s="1"/>
  <c r="S29" i="31"/>
  <c r="S28" i="31"/>
  <c r="D29" i="44"/>
  <c r="C29" i="44"/>
  <c r="D17" i="44"/>
  <c r="C17" i="44"/>
  <c r="D12" i="44"/>
  <c r="M15" i="43"/>
  <c r="R26" i="31" s="1"/>
  <c r="L15" i="43"/>
  <c r="R27" i="31" s="1"/>
  <c r="K15" i="43"/>
  <c r="J15" i="43"/>
  <c r="I15" i="43"/>
  <c r="T15" i="43"/>
  <c r="AA32" i="31" s="1"/>
  <c r="S15" i="43"/>
  <c r="R15" i="43"/>
  <c r="AA28" i="31" s="1"/>
  <c r="AB28" i="31" s="1"/>
  <c r="Q15" i="43"/>
  <c r="AA29" i="31" s="1"/>
  <c r="AF29" i="31" s="1"/>
  <c r="AG29" i="31" s="1"/>
  <c r="P15" i="43"/>
  <c r="AA30" i="31" s="1"/>
  <c r="AF30" i="31" s="1"/>
  <c r="AG30" i="31" s="1"/>
  <c r="F15" i="43"/>
  <c r="I32" i="31" s="1"/>
  <c r="E15" i="43"/>
  <c r="I27" i="31" s="1"/>
  <c r="D15" i="43"/>
  <c r="I28" i="31" s="1"/>
  <c r="C15" i="43"/>
  <c r="I29" i="31" s="1"/>
  <c r="B15" i="43"/>
  <c r="I30" i="31" s="1"/>
  <c r="B28" i="45" l="1"/>
  <c r="E20" i="36"/>
  <c r="D20" i="36"/>
  <c r="AA26" i="31"/>
  <c r="AB26" i="31" s="1"/>
  <c r="I26" i="31"/>
  <c r="I33" i="31" s="1"/>
  <c r="I35" i="31" s="1"/>
  <c r="S26" i="31"/>
  <c r="R32" i="31"/>
  <c r="W32" i="31" s="1"/>
  <c r="X32" i="31" s="1"/>
  <c r="W26" i="31"/>
  <c r="AF32" i="31"/>
  <c r="AG32" i="31" s="1"/>
  <c r="G13" i="34"/>
  <c r="AB29" i="31"/>
  <c r="AF28" i="31"/>
  <c r="AG28" i="31" s="1"/>
  <c r="W27" i="31"/>
  <c r="X27" i="31" s="1"/>
  <c r="AB27" i="31"/>
  <c r="AB32" i="31"/>
  <c r="AB30" i="31"/>
  <c r="W28" i="31"/>
  <c r="X28" i="31" s="1"/>
  <c r="S30" i="31"/>
  <c r="S27" i="31"/>
  <c r="N32" i="31"/>
  <c r="N26" i="31"/>
  <c r="D21" i="36" l="1"/>
  <c r="D10" i="34" s="1"/>
  <c r="D11" i="34" s="1"/>
  <c r="D12" i="34" s="1"/>
  <c r="D13" i="34" s="1"/>
  <c r="D14" i="34" s="1"/>
  <c r="D15" i="34" s="1"/>
  <c r="D16" i="34" s="1"/>
  <c r="D17" i="34" s="1"/>
  <c r="D18" i="34" s="1"/>
  <c r="D19" i="34" s="1"/>
  <c r="D20" i="34" s="1"/>
  <c r="D21" i="34" s="1"/>
  <c r="D22" i="34" s="1"/>
  <c r="D23" i="34" s="1"/>
  <c r="D24" i="34" s="1"/>
  <c r="D25" i="34" s="1"/>
  <c r="D26" i="34" s="1"/>
  <c r="D27" i="34" s="1"/>
  <c r="D28" i="34" s="1"/>
  <c r="D29" i="34" s="1"/>
  <c r="E21" i="36"/>
  <c r="E10" i="34" s="1"/>
  <c r="E11" i="34" s="1"/>
  <c r="E12" i="34" s="1"/>
  <c r="E13" i="34" s="1"/>
  <c r="E14" i="34" s="1"/>
  <c r="E15" i="34" s="1"/>
  <c r="E16" i="34" s="1"/>
  <c r="E17" i="34" s="1"/>
  <c r="E18" i="34" s="1"/>
  <c r="E19" i="34" s="1"/>
  <c r="E20" i="34" s="1"/>
  <c r="E21" i="34" s="1"/>
  <c r="E22" i="34" s="1"/>
  <c r="E23" i="34" s="1"/>
  <c r="E24" i="34" s="1"/>
  <c r="E25" i="34" s="1"/>
  <c r="E26" i="34" s="1"/>
  <c r="E27" i="34" s="1"/>
  <c r="E28" i="34" s="1"/>
  <c r="E29" i="34" s="1"/>
  <c r="S32" i="31"/>
  <c r="S33" i="31" s="1"/>
  <c r="AA33" i="31"/>
  <c r="AA35" i="31" s="1"/>
  <c r="AF26" i="31"/>
  <c r="AG26" i="31" s="1"/>
  <c r="AB33" i="31"/>
  <c r="X26" i="31"/>
  <c r="X33" i="31" s="1"/>
  <c r="W33" i="31"/>
  <c r="R33" i="31"/>
  <c r="R35" i="31" s="1"/>
  <c r="G14" i="34"/>
  <c r="AG33" i="31"/>
  <c r="AF33" i="31"/>
  <c r="N30" i="31"/>
  <c r="N28" i="31"/>
  <c r="N31" i="31"/>
  <c r="N29" i="31"/>
  <c r="N27" i="31"/>
  <c r="N33" i="31" l="1"/>
  <c r="G15" i="34"/>
  <c r="B10" i="34"/>
  <c r="B11" i="34" s="1"/>
  <c r="B12" i="34" s="1"/>
  <c r="B13" i="34" s="1"/>
  <c r="B14" i="34" s="1"/>
  <c r="B15" i="34" s="1"/>
  <c r="B16" i="34" s="1"/>
  <c r="B17" i="34" s="1"/>
  <c r="B18" i="34" s="1"/>
  <c r="B19" i="34" s="1"/>
  <c r="B20" i="34" s="1"/>
  <c r="B21" i="34" s="1"/>
  <c r="B22" i="34" s="1"/>
  <c r="B23" i="34" s="1"/>
  <c r="B24" i="34" s="1"/>
  <c r="B25" i="34" s="1"/>
  <c r="B26" i="34" s="1"/>
  <c r="B27" i="34" s="1"/>
  <c r="B28" i="34" s="1"/>
  <c r="B29" i="34" s="1"/>
  <c r="J15" i="2"/>
  <c r="I15" i="2"/>
  <c r="H15" i="2"/>
  <c r="G15" i="2"/>
  <c r="K14" i="2"/>
  <c r="K15" i="2" s="1"/>
  <c r="K13" i="2"/>
  <c r="K12" i="2"/>
  <c r="G16" i="34" l="1"/>
  <c r="C10" i="34"/>
  <c r="C11" i="34" s="1"/>
  <c r="C12" i="34" s="1"/>
  <c r="C13" i="34" s="1"/>
  <c r="C14" i="34" s="1"/>
  <c r="C15" i="34" s="1"/>
  <c r="C16" i="34" s="1"/>
  <c r="C17" i="34" s="1"/>
  <c r="C18" i="34" s="1"/>
  <c r="C19" i="34" s="1"/>
  <c r="C20" i="34" s="1"/>
  <c r="C21" i="34" s="1"/>
  <c r="C22" i="34" s="1"/>
  <c r="C23" i="34" s="1"/>
  <c r="C24" i="34" s="1"/>
  <c r="C25" i="34" s="1"/>
  <c r="C26" i="34" s="1"/>
  <c r="C27" i="34" s="1"/>
  <c r="C28" i="34" s="1"/>
  <c r="C29" i="34" s="1"/>
  <c r="C40" i="38"/>
  <c r="C33" i="38"/>
  <c r="E18" i="38"/>
  <c r="D18" i="38"/>
  <c r="C18" i="38"/>
  <c r="F17" i="38"/>
  <c r="F16" i="38"/>
  <c r="F15" i="38"/>
  <c r="F14" i="38"/>
  <c r="F13" i="38"/>
  <c r="F12" i="38"/>
  <c r="F18" i="38" s="1"/>
  <c r="G7" i="38"/>
  <c r="F7" i="38"/>
  <c r="E7" i="38"/>
  <c r="D7" i="38"/>
  <c r="C7" i="38"/>
  <c r="G6" i="38"/>
  <c r="G5" i="38"/>
  <c r="G4" i="38"/>
  <c r="G17" i="34" l="1"/>
  <c r="E15" i="36"/>
  <c r="B8" i="28" s="1"/>
  <c r="D16" i="23"/>
  <c r="D15" i="23"/>
  <c r="D14" i="23"/>
  <c r="D13" i="23"/>
  <c r="D12" i="23"/>
  <c r="D36" i="11"/>
  <c r="E36" i="11"/>
  <c r="H36" i="11"/>
  <c r="L36" i="11"/>
  <c r="M36" i="11"/>
  <c r="N36" i="11"/>
  <c r="O36" i="11"/>
  <c r="D11" i="23"/>
  <c r="G18" i="34" l="1"/>
  <c r="A10" i="1"/>
  <c r="G19" i="34" l="1"/>
  <c r="E29" i="36"/>
  <c r="D17" i="23"/>
  <c r="A11" i="22"/>
  <c r="A10" i="22"/>
  <c r="B18" i="20"/>
  <c r="B15" i="20"/>
  <c r="B12" i="20"/>
  <c r="B27" i="20"/>
  <c r="B28" i="20"/>
  <c r="B29" i="20"/>
  <c r="B26" i="20"/>
  <c r="B22" i="20"/>
  <c r="B23" i="20"/>
  <c r="B24" i="20"/>
  <c r="B21" i="20"/>
  <c r="B18" i="33"/>
  <c r="B19" i="33"/>
  <c r="B20" i="33"/>
  <c r="B13" i="33"/>
  <c r="B14" i="33"/>
  <c r="B15" i="33"/>
  <c r="B22" i="33"/>
  <c r="B17" i="33"/>
  <c r="B12" i="33"/>
  <c r="B16" i="3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6" i="11"/>
  <c r="A9" i="35"/>
  <c r="B9" i="35"/>
  <c r="C9" i="35"/>
  <c r="D9" i="35"/>
  <c r="A10" i="35"/>
  <c r="B10" i="35"/>
  <c r="C10" i="35"/>
  <c r="D10" i="35"/>
  <c r="A11" i="35"/>
  <c r="B11" i="35"/>
  <c r="C11" i="35"/>
  <c r="D11" i="35"/>
  <c r="A12" i="35"/>
  <c r="B12" i="35"/>
  <c r="C12" i="35"/>
  <c r="D12" i="35"/>
  <c r="A13" i="35"/>
  <c r="B13" i="35"/>
  <c r="C13" i="35"/>
  <c r="D13" i="35"/>
  <c r="A14" i="35"/>
  <c r="B14" i="35"/>
  <c r="C14" i="35"/>
  <c r="D14" i="35"/>
  <c r="A15" i="35"/>
  <c r="B15" i="35"/>
  <c r="C15" i="35"/>
  <c r="D15" i="35"/>
  <c r="A16" i="35"/>
  <c r="B16" i="35"/>
  <c r="C16" i="35"/>
  <c r="D16" i="35"/>
  <c r="B8" i="35"/>
  <c r="C8" i="35"/>
  <c r="D8" i="35"/>
  <c r="A8" i="35"/>
  <c r="G20" i="34" l="1"/>
  <c r="J32" i="31"/>
  <c r="O32" i="31"/>
  <c r="B9" i="22"/>
  <c r="C9" i="22"/>
  <c r="C8" i="22"/>
  <c r="B8" i="22"/>
  <c r="B9" i="33"/>
  <c r="B8" i="33"/>
  <c r="G21" i="34" l="1"/>
  <c r="I17" i="11" s="1"/>
  <c r="J16" i="11"/>
  <c r="B7" i="31"/>
  <c r="B8" i="32"/>
  <c r="B9" i="32"/>
  <c r="B10" i="32"/>
  <c r="B11" i="32"/>
  <c r="B13" i="32"/>
  <c r="B14" i="32"/>
  <c r="B15" i="32"/>
  <c r="B16" i="32"/>
  <c r="B8" i="31"/>
  <c r="B9" i="31"/>
  <c r="B10" i="31"/>
  <c r="B11" i="31"/>
  <c r="B12" i="31"/>
  <c r="B13" i="31"/>
  <c r="B17" i="31"/>
  <c r="B18" i="31"/>
  <c r="B11" i="28"/>
  <c r="D55" i="33"/>
  <c r="E35" i="11" s="1"/>
  <c r="D54" i="33"/>
  <c r="E34" i="11" s="1"/>
  <c r="D53" i="33"/>
  <c r="E33" i="11" s="1"/>
  <c r="D52" i="33"/>
  <c r="E32" i="11" s="1"/>
  <c r="D51" i="33"/>
  <c r="E31" i="11" s="1"/>
  <c r="D50" i="33"/>
  <c r="E30" i="11" s="1"/>
  <c r="D49" i="33"/>
  <c r="E29" i="11" s="1"/>
  <c r="D48" i="33"/>
  <c r="E28" i="11" s="1"/>
  <c r="D47" i="33"/>
  <c r="E27" i="11" s="1"/>
  <c r="D46" i="33"/>
  <c r="E26" i="11" s="1"/>
  <c r="D45" i="33"/>
  <c r="E25" i="11" s="1"/>
  <c r="D44" i="33"/>
  <c r="E24" i="11" s="1"/>
  <c r="D43" i="33"/>
  <c r="E23" i="11" s="1"/>
  <c r="D42" i="33"/>
  <c r="E22" i="11" s="1"/>
  <c r="D41" i="33"/>
  <c r="E21" i="11" s="1"/>
  <c r="D40" i="33"/>
  <c r="E20" i="11" s="1"/>
  <c r="D39" i="33"/>
  <c r="E19" i="11" s="1"/>
  <c r="D38" i="33"/>
  <c r="E18" i="11" s="1"/>
  <c r="D37" i="33"/>
  <c r="E17" i="11" s="1"/>
  <c r="D36" i="33"/>
  <c r="E16" i="11" s="1"/>
  <c r="D35" i="33"/>
  <c r="E15" i="11" s="1"/>
  <c r="D34" i="33"/>
  <c r="E14" i="11" s="1"/>
  <c r="D33" i="33"/>
  <c r="E13" i="11" s="1"/>
  <c r="D32" i="33"/>
  <c r="E12" i="11" s="1"/>
  <c r="D31" i="33"/>
  <c r="E11" i="11" s="1"/>
  <c r="D30" i="33"/>
  <c r="E10" i="11" s="1"/>
  <c r="D29" i="33"/>
  <c r="E9" i="11" s="1"/>
  <c r="D28" i="33"/>
  <c r="E8" i="11" s="1"/>
  <c r="D27" i="33"/>
  <c r="E7" i="11" s="1"/>
  <c r="D26" i="33"/>
  <c r="E6" i="11" s="1"/>
  <c r="D49" i="32"/>
  <c r="D35" i="11" s="1"/>
  <c r="D48" i="32"/>
  <c r="D34" i="11" s="1"/>
  <c r="D47" i="32"/>
  <c r="D33" i="11" s="1"/>
  <c r="D46" i="32"/>
  <c r="D32" i="11" s="1"/>
  <c r="D45" i="32"/>
  <c r="D31" i="11" s="1"/>
  <c r="D44" i="32"/>
  <c r="D30" i="11" s="1"/>
  <c r="D43" i="32"/>
  <c r="D29" i="11" s="1"/>
  <c r="D42" i="32"/>
  <c r="D28" i="11" s="1"/>
  <c r="D41" i="32"/>
  <c r="D27" i="11" s="1"/>
  <c r="D40" i="32"/>
  <c r="D26" i="11" s="1"/>
  <c r="D39" i="32"/>
  <c r="D25" i="11" s="1"/>
  <c r="D38" i="32"/>
  <c r="D24" i="11" s="1"/>
  <c r="D37" i="32"/>
  <c r="D23" i="11" s="1"/>
  <c r="D36" i="32"/>
  <c r="D22" i="11" s="1"/>
  <c r="D35" i="32"/>
  <c r="D21" i="11" s="1"/>
  <c r="D34" i="32"/>
  <c r="D20" i="11" s="1"/>
  <c r="D33" i="32"/>
  <c r="D19" i="11" s="1"/>
  <c r="D32" i="32"/>
  <c r="D18" i="11" s="1"/>
  <c r="D31" i="32"/>
  <c r="D17" i="11" s="1"/>
  <c r="D30" i="32"/>
  <c r="D16" i="11" s="1"/>
  <c r="D29" i="32"/>
  <c r="D15" i="11" s="1"/>
  <c r="D28" i="32"/>
  <c r="D14" i="11" s="1"/>
  <c r="D27" i="32"/>
  <c r="D13" i="11" s="1"/>
  <c r="D26" i="32"/>
  <c r="D12" i="11" s="1"/>
  <c r="D25" i="32"/>
  <c r="D11" i="11" s="1"/>
  <c r="D24" i="32"/>
  <c r="D10" i="11" s="1"/>
  <c r="D23" i="32"/>
  <c r="D9" i="11" s="1"/>
  <c r="D22" i="32"/>
  <c r="D8" i="11" s="1"/>
  <c r="D21" i="32"/>
  <c r="D7" i="11" s="1"/>
  <c r="D20" i="32"/>
  <c r="D6" i="11" s="1"/>
  <c r="D42" i="31"/>
  <c r="C26" i="11" s="1"/>
  <c r="D43" i="31"/>
  <c r="C27" i="11" s="1"/>
  <c r="D44" i="31"/>
  <c r="C28" i="11" s="1"/>
  <c r="D45" i="31"/>
  <c r="C29" i="11" s="1"/>
  <c r="D46" i="31"/>
  <c r="C30" i="11" s="1"/>
  <c r="D47" i="31"/>
  <c r="C31" i="11" s="1"/>
  <c r="D48" i="31"/>
  <c r="C32" i="11" s="1"/>
  <c r="D49" i="31"/>
  <c r="C33" i="11" s="1"/>
  <c r="D50" i="31"/>
  <c r="C34" i="11" s="1"/>
  <c r="D51" i="31"/>
  <c r="C35" i="11" s="1"/>
  <c r="A9" i="2"/>
  <c r="C9" i="2" s="1"/>
  <c r="B6" i="28"/>
  <c r="B9" i="28"/>
  <c r="D8" i="3"/>
  <c r="B6" i="11" s="1"/>
  <c r="D9" i="3"/>
  <c r="B7" i="11" s="1"/>
  <c r="D10" i="3"/>
  <c r="B8" i="11" s="1"/>
  <c r="D11" i="3"/>
  <c r="B9" i="11" s="1"/>
  <c r="D12" i="3"/>
  <c r="B10" i="11" s="1"/>
  <c r="D13" i="3"/>
  <c r="B11" i="11" s="1"/>
  <c r="D14" i="3"/>
  <c r="B12" i="11" s="1"/>
  <c r="D15" i="3"/>
  <c r="B13" i="11" s="1"/>
  <c r="D16" i="3"/>
  <c r="B14" i="11" s="1"/>
  <c r="D17" i="3"/>
  <c r="B15" i="11" s="1"/>
  <c r="D18" i="3"/>
  <c r="B16" i="11" s="1"/>
  <c r="D19" i="3"/>
  <c r="B17" i="11" s="1"/>
  <c r="D20" i="3"/>
  <c r="B18" i="11" s="1"/>
  <c r="D21" i="3"/>
  <c r="B19" i="11" s="1"/>
  <c r="D22" i="3"/>
  <c r="B20" i="11" s="1"/>
  <c r="D23" i="3"/>
  <c r="B21" i="11" s="1"/>
  <c r="D24" i="3"/>
  <c r="B22" i="11" s="1"/>
  <c r="D25" i="3"/>
  <c r="B23" i="11" s="1"/>
  <c r="D26" i="3"/>
  <c r="B24" i="11" s="1"/>
  <c r="D27" i="3"/>
  <c r="B25" i="11" s="1"/>
  <c r="D28" i="3"/>
  <c r="B26" i="11" s="1"/>
  <c r="D29" i="3"/>
  <c r="B27" i="11" s="1"/>
  <c r="D30" i="3"/>
  <c r="B28" i="11" s="1"/>
  <c r="D31" i="3"/>
  <c r="B29" i="11" s="1"/>
  <c r="D32" i="3"/>
  <c r="B30" i="11" s="1"/>
  <c r="D33" i="3"/>
  <c r="B31" i="11" s="1"/>
  <c r="D34" i="3"/>
  <c r="B32" i="11" s="1"/>
  <c r="D35" i="3"/>
  <c r="B33" i="11" s="1"/>
  <c r="D36" i="3"/>
  <c r="B34" i="11" s="1"/>
  <c r="D37" i="3"/>
  <c r="B35" i="11" s="1"/>
  <c r="L22" i="11"/>
  <c r="M22" i="11"/>
  <c r="N22" i="11"/>
  <c r="O22" i="11"/>
  <c r="L23" i="11"/>
  <c r="M23" i="11"/>
  <c r="N23" i="11"/>
  <c r="O23" i="11"/>
  <c r="L24" i="11"/>
  <c r="M24" i="11"/>
  <c r="N24" i="11"/>
  <c r="O24" i="11"/>
  <c r="L25" i="11"/>
  <c r="M25" i="11"/>
  <c r="N25" i="11"/>
  <c r="O25" i="11"/>
  <c r="I26" i="11"/>
  <c r="J26" i="11"/>
  <c r="L26" i="11"/>
  <c r="M26" i="11"/>
  <c r="N26" i="11"/>
  <c r="O26" i="11"/>
  <c r="I27" i="11"/>
  <c r="J27" i="11"/>
  <c r="L27" i="11"/>
  <c r="M27" i="11"/>
  <c r="N27" i="11"/>
  <c r="O27" i="11"/>
  <c r="I28" i="11"/>
  <c r="J28" i="11"/>
  <c r="L28" i="11"/>
  <c r="M28" i="11"/>
  <c r="N28" i="11"/>
  <c r="O28" i="11"/>
  <c r="I29" i="11"/>
  <c r="J29" i="11"/>
  <c r="L29" i="11"/>
  <c r="M29" i="11"/>
  <c r="N29" i="11"/>
  <c r="O29" i="11"/>
  <c r="I30" i="11"/>
  <c r="J30" i="11"/>
  <c r="L30" i="11"/>
  <c r="M30" i="11"/>
  <c r="N30" i="11"/>
  <c r="O30" i="11"/>
  <c r="I31" i="11"/>
  <c r="J31" i="11"/>
  <c r="L31" i="11"/>
  <c r="M31" i="11"/>
  <c r="N31" i="11"/>
  <c r="O31" i="11"/>
  <c r="I32" i="11"/>
  <c r="J32" i="11"/>
  <c r="L32" i="11"/>
  <c r="M32" i="11"/>
  <c r="N32" i="11"/>
  <c r="O32" i="11"/>
  <c r="I33" i="11"/>
  <c r="J33" i="11"/>
  <c r="L33" i="11"/>
  <c r="M33" i="11"/>
  <c r="N33" i="11"/>
  <c r="O33" i="11"/>
  <c r="I34" i="11"/>
  <c r="J34" i="11"/>
  <c r="L34" i="11"/>
  <c r="M34" i="11"/>
  <c r="N34" i="11"/>
  <c r="O34" i="11"/>
  <c r="I35" i="11"/>
  <c r="J35" i="11"/>
  <c r="L35" i="11"/>
  <c r="M35" i="11"/>
  <c r="N35" i="11"/>
  <c r="O35" i="11"/>
  <c r="I7" i="11"/>
  <c r="J7" i="11"/>
  <c r="L7" i="11"/>
  <c r="M7" i="11"/>
  <c r="N7" i="11"/>
  <c r="O7" i="11"/>
  <c r="I8" i="11"/>
  <c r="J8" i="11"/>
  <c r="L8" i="11"/>
  <c r="M8" i="11"/>
  <c r="N8" i="11"/>
  <c r="O8" i="11"/>
  <c r="I9" i="11"/>
  <c r="J9" i="11"/>
  <c r="L9" i="11"/>
  <c r="M9" i="11"/>
  <c r="N9" i="11"/>
  <c r="O9" i="11"/>
  <c r="I10" i="11"/>
  <c r="J10" i="11"/>
  <c r="L10" i="11"/>
  <c r="M10" i="11"/>
  <c r="N10" i="11"/>
  <c r="O10" i="11"/>
  <c r="I11" i="11"/>
  <c r="J11" i="11"/>
  <c r="L11" i="11"/>
  <c r="M11" i="11"/>
  <c r="N11" i="11"/>
  <c r="O11" i="11"/>
  <c r="I12" i="11"/>
  <c r="J12" i="11"/>
  <c r="L12" i="11"/>
  <c r="M12" i="11"/>
  <c r="N12" i="11"/>
  <c r="O12" i="11"/>
  <c r="I13" i="11"/>
  <c r="J13" i="11"/>
  <c r="L13" i="11"/>
  <c r="M13" i="11"/>
  <c r="N13" i="11"/>
  <c r="O13" i="11"/>
  <c r="I14" i="11"/>
  <c r="J14" i="11"/>
  <c r="L14" i="11"/>
  <c r="M14" i="11"/>
  <c r="N14" i="11"/>
  <c r="O14" i="11"/>
  <c r="I15" i="11"/>
  <c r="J15" i="11"/>
  <c r="L15" i="11"/>
  <c r="M15" i="11"/>
  <c r="N15" i="11"/>
  <c r="O15" i="11"/>
  <c r="I16" i="11"/>
  <c r="L16" i="11"/>
  <c r="M16" i="11"/>
  <c r="N16" i="11"/>
  <c r="O16" i="11"/>
  <c r="L17" i="11"/>
  <c r="M17" i="11"/>
  <c r="N17" i="11"/>
  <c r="O17" i="11"/>
  <c r="L18" i="11"/>
  <c r="M18" i="11"/>
  <c r="N18" i="11"/>
  <c r="O18" i="11"/>
  <c r="L19" i="11"/>
  <c r="M19" i="11"/>
  <c r="N19" i="11"/>
  <c r="O19" i="11"/>
  <c r="L20" i="11"/>
  <c r="M20" i="11"/>
  <c r="N20" i="11"/>
  <c r="O20" i="11"/>
  <c r="L21" i="11"/>
  <c r="M21" i="11"/>
  <c r="N21" i="11"/>
  <c r="O21" i="11"/>
  <c r="O5" i="11"/>
  <c r="O6" i="11"/>
  <c r="N5" i="11"/>
  <c r="N6" i="11"/>
  <c r="M5" i="11"/>
  <c r="M6" i="11"/>
  <c r="L5" i="11"/>
  <c r="L6" i="11"/>
  <c r="J6" i="11"/>
  <c r="I6" i="11"/>
  <c r="G22" i="34" l="1"/>
  <c r="I18" i="11" s="1"/>
  <c r="J17" i="11"/>
  <c r="B36" i="11"/>
  <c r="J29" i="31"/>
  <c r="O29" i="31"/>
  <c r="J31" i="31"/>
  <c r="O31" i="31"/>
  <c r="J28" i="31"/>
  <c r="O28" i="31"/>
  <c r="J30" i="31"/>
  <c r="O30" i="31"/>
  <c r="J27" i="31"/>
  <c r="O27" i="31"/>
  <c r="J26" i="31"/>
  <c r="O26" i="31"/>
  <c r="A8" i="3"/>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6" i="1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12" i="27"/>
  <c r="A13" i="27" s="1"/>
  <c r="A14" i="27" s="1"/>
  <c r="A15" i="27" s="1"/>
  <c r="A16" i="27" s="1"/>
  <c r="A17" i="27" s="1"/>
  <c r="A18" i="27" s="1"/>
  <c r="A19" i="27" s="1"/>
  <c r="A20" i="27" s="1"/>
  <c r="A21" i="27" s="1"/>
  <c r="A22" i="27" s="1"/>
  <c r="A23" i="27" s="1"/>
  <c r="A24" i="27" s="1"/>
  <c r="A25" i="27" s="1"/>
  <c r="A26" i="27" s="1"/>
  <c r="A27" i="27" s="1"/>
  <c r="A28" i="27" s="1"/>
  <c r="A29" i="27" s="1"/>
  <c r="A30" i="27" s="1"/>
  <c r="A31" i="27" s="1"/>
  <c r="A32" i="27" s="1"/>
  <c r="A33" i="27" s="1"/>
  <c r="A34" i="27" s="1"/>
  <c r="A35" i="27" s="1"/>
  <c r="A36" i="27" s="1"/>
  <c r="A37" i="27" s="1"/>
  <c r="A38" i="27" s="1"/>
  <c r="A39" i="27" s="1"/>
  <c r="A40" i="27" s="1"/>
  <c r="A41" i="27" s="1"/>
  <c r="A8" i="26"/>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8" i="25"/>
  <c r="A9" i="25" s="1"/>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8" i="24"/>
  <c r="A9" i="24" s="1"/>
  <c r="A10" i="24" s="1"/>
  <c r="A11" i="24" s="1"/>
  <c r="A12" i="24" s="1"/>
  <c r="A13" i="24" s="1"/>
  <c r="A14" i="24" s="1"/>
  <c r="A15" i="24" s="1"/>
  <c r="A16" i="24" s="1"/>
  <c r="A17" i="24" s="1"/>
  <c r="A18" i="24" s="1"/>
  <c r="A19" i="24" s="1"/>
  <c r="A20" i="24" s="1"/>
  <c r="A21" i="24" s="1"/>
  <c r="A22" i="24" s="1"/>
  <c r="A23" i="24" s="1"/>
  <c r="A24" i="24" s="1"/>
  <c r="A25" i="24" s="1"/>
  <c r="A26" i="24" s="1"/>
  <c r="A27" i="24" s="1"/>
  <c r="A28" i="24" s="1"/>
  <c r="A29" i="24" s="1"/>
  <c r="A30" i="24" s="1"/>
  <c r="A31" i="24" s="1"/>
  <c r="A32" i="24" s="1"/>
  <c r="A33" i="24" s="1"/>
  <c r="A34" i="24" s="1"/>
  <c r="A35" i="24" s="1"/>
  <c r="A36" i="24" s="1"/>
  <c r="A37" i="24" s="1"/>
  <c r="A23" i="23"/>
  <c r="A24" i="23" s="1"/>
  <c r="B24" i="23" s="1"/>
  <c r="A15" i="22"/>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20" i="35"/>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A46" i="35" s="1"/>
  <c r="A47" i="35" s="1"/>
  <c r="A48" i="35" s="1"/>
  <c r="A49" i="35" s="1"/>
  <c r="A33" i="20"/>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26" i="33"/>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20" i="32"/>
  <c r="A21" i="32" s="1"/>
  <c r="A22" i="32" s="1"/>
  <c r="A23" i="32" s="1"/>
  <c r="A24" i="32" s="1"/>
  <c r="A25" i="32" s="1"/>
  <c r="A26" i="32" s="1"/>
  <c r="A27" i="32" s="1"/>
  <c r="A28" i="32" s="1"/>
  <c r="A29" i="32" s="1"/>
  <c r="A30" i="32" s="1"/>
  <c r="A31" i="32" s="1"/>
  <c r="A32" i="32" s="1"/>
  <c r="A33" i="32" s="1"/>
  <c r="A34" i="32" s="1"/>
  <c r="A35" i="32" s="1"/>
  <c r="A36" i="32" s="1"/>
  <c r="A37" i="32" s="1"/>
  <c r="A38" i="32" s="1"/>
  <c r="A39" i="32" s="1"/>
  <c r="A40" i="32" s="1"/>
  <c r="A41" i="32" s="1"/>
  <c r="A42" i="32" s="1"/>
  <c r="A43" i="32" s="1"/>
  <c r="A44" i="32" s="1"/>
  <c r="A45" i="32" s="1"/>
  <c r="A46" i="32" s="1"/>
  <c r="A47" i="32" s="1"/>
  <c r="A48" i="32" s="1"/>
  <c r="A49" i="32" s="1"/>
  <c r="A22" i="31"/>
  <c r="A23" i="31" s="1"/>
  <c r="A24" i="31" s="1"/>
  <c r="A25" i="31" s="1"/>
  <c r="A26" i="31" s="1"/>
  <c r="A27" i="31" s="1"/>
  <c r="A28" i="31" s="1"/>
  <c r="A29" i="31" s="1"/>
  <c r="A30" i="31" s="1"/>
  <c r="A31" i="31" s="1"/>
  <c r="A32" i="31" s="1"/>
  <c r="A33" i="31" s="1"/>
  <c r="A34" i="31" s="1"/>
  <c r="A35" i="31" s="1"/>
  <c r="A36" i="31" s="1"/>
  <c r="A37" i="31" s="1"/>
  <c r="A38" i="31" s="1"/>
  <c r="A39" i="31" s="1"/>
  <c r="A40" i="31" s="1"/>
  <c r="A41" i="31" s="1"/>
  <c r="A42" i="31" s="1"/>
  <c r="A43" i="31" s="1"/>
  <c r="A44" i="31" s="1"/>
  <c r="A45" i="31" s="1"/>
  <c r="A46" i="31" s="1"/>
  <c r="A47" i="31" s="1"/>
  <c r="A48" i="31" s="1"/>
  <c r="A49" i="31" s="1"/>
  <c r="A50" i="31" s="1"/>
  <c r="A51" i="31" s="1"/>
  <c r="A11" i="2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B41" i="11"/>
  <c r="A41" i="11"/>
  <c r="A10" i="34"/>
  <c r="A11" i="34" s="1"/>
  <c r="A12" i="34" s="1"/>
  <c r="A13" i="34" s="1"/>
  <c r="A14" i="34" s="1"/>
  <c r="A15" i="34" s="1"/>
  <c r="A16" i="34" s="1"/>
  <c r="A17" i="34" s="1"/>
  <c r="A18" i="34" s="1"/>
  <c r="A19" i="34" s="1"/>
  <c r="A20" i="34" s="1"/>
  <c r="A21" i="34" s="1"/>
  <c r="A22" i="34" s="1"/>
  <c r="A23" i="34" s="1"/>
  <c r="A24" i="34" s="1"/>
  <c r="A25" i="34" s="1"/>
  <c r="A26" i="34" s="1"/>
  <c r="A27" i="34" s="1"/>
  <c r="A28" i="34" s="1"/>
  <c r="A29" i="34" s="1"/>
  <c r="A30" i="34" s="1"/>
  <c r="A31" i="34" s="1"/>
  <c r="A32" i="34" s="1"/>
  <c r="A33" i="34" s="1"/>
  <c r="A34" i="34" s="1"/>
  <c r="A35" i="34" s="1"/>
  <c r="A36" i="34" s="1"/>
  <c r="A37" i="34" s="1"/>
  <c r="A38" i="34" s="1"/>
  <c r="A39" i="34" s="1"/>
  <c r="A10" i="2"/>
  <c r="C10" i="2" s="1"/>
  <c r="B42" i="11" s="1"/>
  <c r="G23" i="34" l="1"/>
  <c r="I19" i="11" s="1"/>
  <c r="J18" i="11"/>
  <c r="J33" i="31"/>
  <c r="B22" i="31" s="1"/>
  <c r="B23" i="31" s="1"/>
  <c r="B24" i="31" s="1"/>
  <c r="B25" i="31" s="1"/>
  <c r="B26" i="31" s="1"/>
  <c r="B27" i="31" s="1"/>
  <c r="B28" i="31" s="1"/>
  <c r="B29" i="31" s="1"/>
  <c r="B30" i="31" s="1"/>
  <c r="B31" i="31" s="1"/>
  <c r="B32" i="31" s="1"/>
  <c r="B33" i="31" s="1"/>
  <c r="B34" i="31" s="1"/>
  <c r="B35" i="31" s="1"/>
  <c r="B36" i="31" s="1"/>
  <c r="B37" i="31" s="1"/>
  <c r="B38" i="31" s="1"/>
  <c r="B39" i="31" s="1"/>
  <c r="B40" i="31" s="1"/>
  <c r="B41" i="31" s="1"/>
  <c r="O33" i="31"/>
  <c r="C22" i="31" s="1"/>
  <c r="C23" i="31" s="1"/>
  <c r="C24" i="31" s="1"/>
  <c r="C25" i="31" s="1"/>
  <c r="C26" i="31" s="1"/>
  <c r="C27" i="31" s="1"/>
  <c r="C28" i="31" s="1"/>
  <c r="C29" i="31" s="1"/>
  <c r="C30" i="31" s="1"/>
  <c r="C31" i="31" s="1"/>
  <c r="C32" i="31" s="1"/>
  <c r="C33" i="31" s="1"/>
  <c r="C34" i="31" s="1"/>
  <c r="C35" i="31" s="1"/>
  <c r="C36" i="31" s="1"/>
  <c r="C37" i="31" s="1"/>
  <c r="C38" i="31" s="1"/>
  <c r="C39" i="31" s="1"/>
  <c r="C40" i="31" s="1"/>
  <c r="C41" i="31" s="1"/>
  <c r="B23" i="23"/>
  <c r="N37" i="11"/>
  <c r="H37" i="11"/>
  <c r="D37" i="11"/>
  <c r="O37" i="11"/>
  <c r="M37" i="11"/>
  <c r="L37" i="11"/>
  <c r="E37" i="11"/>
  <c r="B37" i="11"/>
  <c r="E5" i="47" s="1"/>
  <c r="C41" i="11"/>
  <c r="A42" i="11"/>
  <c r="A43" i="11" s="1"/>
  <c r="A44" i="11" s="1"/>
  <c r="A45" i="11" s="1"/>
  <c r="A46" i="11" s="1"/>
  <c r="A47" i="11" s="1"/>
  <c r="A48" i="11" s="1"/>
  <c r="A49" i="11" s="1"/>
  <c r="A50" i="11" s="1"/>
  <c r="A51" i="11" s="1"/>
  <c r="A52" i="11" s="1"/>
  <c r="A53" i="11" s="1"/>
  <c r="A25" i="23"/>
  <c r="B25" i="23" s="1"/>
  <c r="Q33" i="20"/>
  <c r="O33" i="20"/>
  <c r="P33" i="20"/>
  <c r="O35" i="20"/>
  <c r="A11" i="2"/>
  <c r="C11" i="2" s="1"/>
  <c r="G24" i="34" l="1"/>
  <c r="I20" i="11" s="1"/>
  <c r="J19" i="11"/>
  <c r="D22" i="31"/>
  <c r="C6" i="11" s="1"/>
  <c r="C42" i="11"/>
  <c r="B43" i="11"/>
  <c r="C43" i="11" s="1"/>
  <c r="A26" i="23"/>
  <c r="B26" i="23" s="1"/>
  <c r="K7" i="11"/>
  <c r="K6" i="11"/>
  <c r="S33" i="20"/>
  <c r="F6" i="11" s="1"/>
  <c r="A12" i="2"/>
  <c r="A13" i="2" s="1"/>
  <c r="Q34" i="20"/>
  <c r="Q35" i="20"/>
  <c r="O34" i="20"/>
  <c r="P34" i="20"/>
  <c r="P35" i="20"/>
  <c r="Q36" i="20"/>
  <c r="A54" i="11"/>
  <c r="G25" i="34" l="1"/>
  <c r="I21" i="11" s="1"/>
  <c r="J20" i="11"/>
  <c r="D23" i="31"/>
  <c r="C7" i="11" s="1"/>
  <c r="C12" i="2"/>
  <c r="B44" i="11" s="1"/>
  <c r="C44" i="11" s="1"/>
  <c r="A27" i="23"/>
  <c r="B27" i="23" s="1"/>
  <c r="P6" i="11"/>
  <c r="S35" i="20"/>
  <c r="F8" i="11" s="1"/>
  <c r="S34" i="20"/>
  <c r="F7" i="11" s="1"/>
  <c r="P36" i="20"/>
  <c r="O37" i="20"/>
  <c r="O36" i="20"/>
  <c r="A55" i="11"/>
  <c r="A14" i="2"/>
  <c r="C13" i="2"/>
  <c r="B45" i="11" s="1"/>
  <c r="C45" i="11" s="1"/>
  <c r="G26" i="34" l="1"/>
  <c r="I22" i="11" s="1"/>
  <c r="J21" i="11"/>
  <c r="D24" i="31"/>
  <c r="C8" i="11" s="1"/>
  <c r="Q6" i="11"/>
  <c r="A28" i="23"/>
  <c r="B28" i="23" s="1"/>
  <c r="K8" i="11"/>
  <c r="K9" i="11"/>
  <c r="S36" i="20"/>
  <c r="F9" i="11" s="1"/>
  <c r="P7" i="11"/>
  <c r="Q7" i="11" s="1"/>
  <c r="O38" i="20"/>
  <c r="Q37" i="20"/>
  <c r="P37" i="20"/>
  <c r="A15" i="2"/>
  <c r="C14" i="2"/>
  <c r="B46" i="11" s="1"/>
  <c r="C46" i="11" s="1"/>
  <c r="G27" i="34" l="1"/>
  <c r="I23" i="11" s="1"/>
  <c r="J22" i="11"/>
  <c r="D25" i="31"/>
  <c r="C9" i="11" s="1"/>
  <c r="P8" i="11"/>
  <c r="Q8" i="11" s="1"/>
  <c r="A29" i="23"/>
  <c r="B29" i="23" s="1"/>
  <c r="K10" i="11"/>
  <c r="S37" i="20"/>
  <c r="F10" i="11" s="1"/>
  <c r="P39" i="20"/>
  <c r="P38" i="20"/>
  <c r="Q38" i="20"/>
  <c r="A16" i="2"/>
  <c r="C15" i="2"/>
  <c r="B47" i="11" s="1"/>
  <c r="C47" i="11" s="1"/>
  <c r="G28" i="34" l="1"/>
  <c r="I24" i="11" s="1"/>
  <c r="J23" i="11"/>
  <c r="D26" i="31"/>
  <c r="C10" i="11" s="1"/>
  <c r="P10" i="11" s="1"/>
  <c r="Q10" i="11" s="1"/>
  <c r="P9" i="11"/>
  <c r="Q9" i="11" s="1"/>
  <c r="A30" i="23"/>
  <c r="B30" i="23" s="1"/>
  <c r="O39" i="20"/>
  <c r="S38" i="20"/>
  <c r="F11" i="11" s="1"/>
  <c r="Q39" i="20"/>
  <c r="Q40" i="20"/>
  <c r="A17" i="2"/>
  <c r="C16" i="2"/>
  <c r="B48" i="11" s="1"/>
  <c r="C48" i="11" s="1"/>
  <c r="G29" i="34" l="1"/>
  <c r="J24" i="11"/>
  <c r="D27" i="31"/>
  <c r="C11" i="11" s="1"/>
  <c r="A31" i="23"/>
  <c r="B31" i="23" s="1"/>
  <c r="K11" i="11"/>
  <c r="K12" i="11"/>
  <c r="P40" i="20"/>
  <c r="O40" i="20"/>
  <c r="S39" i="20"/>
  <c r="F12" i="11" s="1"/>
  <c r="O41" i="20"/>
  <c r="P41" i="20"/>
  <c r="Q41" i="20"/>
  <c r="A18" i="2"/>
  <c r="C17" i="2"/>
  <c r="B49" i="11" s="1"/>
  <c r="C49" i="11" s="1"/>
  <c r="J25" i="11" l="1"/>
  <c r="J37" i="11" s="1"/>
  <c r="E11" i="47" s="1"/>
  <c r="I25" i="11"/>
  <c r="D28" i="31"/>
  <c r="C12" i="11" s="1"/>
  <c r="P12" i="11" s="1"/>
  <c r="Q12" i="11" s="1"/>
  <c r="P11" i="11"/>
  <c r="A32" i="23"/>
  <c r="B32" i="23" s="1"/>
  <c r="K13" i="11"/>
  <c r="S40" i="20"/>
  <c r="F13" i="11" s="1"/>
  <c r="S41" i="20"/>
  <c r="F14" i="11" s="1"/>
  <c r="O42" i="20"/>
  <c r="P42" i="20"/>
  <c r="Q42" i="20"/>
  <c r="A19" i="2"/>
  <c r="C18" i="2"/>
  <c r="B50" i="11" s="1"/>
  <c r="C50" i="11" s="1"/>
  <c r="J36" i="11" l="1"/>
  <c r="D11" i="47" s="1"/>
  <c r="I36" i="11"/>
  <c r="D10" i="47" s="1"/>
  <c r="I37" i="11"/>
  <c r="E10" i="47" s="1"/>
  <c r="D29" i="31"/>
  <c r="C13" i="11" s="1"/>
  <c r="P13" i="11" s="1"/>
  <c r="Q13" i="11" s="1"/>
  <c r="Q11" i="11"/>
  <c r="A33" i="23"/>
  <c r="B33" i="23" s="1"/>
  <c r="K14" i="11"/>
  <c r="S42" i="20"/>
  <c r="F15" i="11" s="1"/>
  <c r="O43" i="20"/>
  <c r="P43" i="20"/>
  <c r="Q43" i="20"/>
  <c r="A20" i="2"/>
  <c r="C19" i="2"/>
  <c r="B51" i="11" s="1"/>
  <c r="C51" i="11" s="1"/>
  <c r="D30" i="31" l="1"/>
  <c r="C14" i="11" s="1"/>
  <c r="P14" i="11" s="1"/>
  <c r="Q14" i="11" s="1"/>
  <c r="A34" i="23"/>
  <c r="B34" i="23" s="1"/>
  <c r="K15" i="11"/>
  <c r="S43" i="20"/>
  <c r="F16" i="11" s="1"/>
  <c r="O44" i="20"/>
  <c r="P44" i="20"/>
  <c r="Q44" i="20"/>
  <c r="A21" i="2"/>
  <c r="C20" i="2"/>
  <c r="B52" i="11" s="1"/>
  <c r="C52" i="11" s="1"/>
  <c r="D31" i="31" l="1"/>
  <c r="C15" i="11" s="1"/>
  <c r="P15" i="11" s="1"/>
  <c r="Q15" i="11" s="1"/>
  <c r="A35" i="23"/>
  <c r="B35" i="23" s="1"/>
  <c r="K16" i="11"/>
  <c r="S44" i="20"/>
  <c r="F17" i="11" s="1"/>
  <c r="O45" i="20"/>
  <c r="P45" i="20"/>
  <c r="Q45" i="20"/>
  <c r="A22" i="2"/>
  <c r="C21" i="2"/>
  <c r="B53" i="11" s="1"/>
  <c r="C53" i="11" s="1"/>
  <c r="D32" i="31" l="1"/>
  <c r="C16" i="11" s="1"/>
  <c r="P16" i="11" s="1"/>
  <c r="Q16" i="11" s="1"/>
  <c r="A36" i="23"/>
  <c r="B36" i="23" s="1"/>
  <c r="K17" i="11"/>
  <c r="S45" i="20"/>
  <c r="F18" i="11" s="1"/>
  <c r="O46" i="20"/>
  <c r="P46" i="20"/>
  <c r="Q46" i="20"/>
  <c r="A23" i="2"/>
  <c r="C23" i="2" s="1"/>
  <c r="C22" i="2"/>
  <c r="B54" i="11" s="1"/>
  <c r="C54" i="11" s="1"/>
  <c r="D33" i="31" l="1"/>
  <c r="C17" i="11" s="1"/>
  <c r="P17" i="11" s="1"/>
  <c r="Q17" i="11" s="1"/>
  <c r="B55" i="11"/>
  <c r="C55" i="11" s="1"/>
  <c r="B11" i="23"/>
  <c r="A37" i="23"/>
  <c r="B37" i="23" s="1"/>
  <c r="K18" i="11"/>
  <c r="S46" i="20"/>
  <c r="F19" i="11" s="1"/>
  <c r="O47" i="20"/>
  <c r="P47" i="20"/>
  <c r="Q47" i="20"/>
  <c r="D34" i="31" l="1"/>
  <c r="C18" i="11" s="1"/>
  <c r="P18" i="11" s="1"/>
  <c r="Q18" i="11" s="1"/>
  <c r="C56" i="11"/>
  <c r="E4" i="47" s="1"/>
  <c r="B56" i="11"/>
  <c r="C4" i="47" s="1"/>
  <c r="C12" i="47" s="1"/>
  <c r="A38" i="23"/>
  <c r="B38" i="23" s="1"/>
  <c r="K19" i="11"/>
  <c r="S47" i="20"/>
  <c r="F20" i="11" s="1"/>
  <c r="O48" i="20"/>
  <c r="P48" i="20"/>
  <c r="Q48" i="20"/>
  <c r="D35" i="31" l="1"/>
  <c r="C19" i="11" s="1"/>
  <c r="P19" i="11" s="1"/>
  <c r="Q19" i="11" s="1"/>
  <c r="A39" i="23"/>
  <c r="B39" i="23" s="1"/>
  <c r="K20" i="11"/>
  <c r="S48" i="20"/>
  <c r="F21" i="11" s="1"/>
  <c r="O49" i="20"/>
  <c r="P49" i="20"/>
  <c r="Q49" i="20"/>
  <c r="D36" i="31" l="1"/>
  <c r="C20" i="11" s="1"/>
  <c r="P20" i="11" s="1"/>
  <c r="Q20" i="11" s="1"/>
  <c r="A40" i="23"/>
  <c r="B40" i="23" s="1"/>
  <c r="K21" i="11"/>
  <c r="S49" i="20"/>
  <c r="F22" i="11" s="1"/>
  <c r="O50" i="20"/>
  <c r="P50" i="20"/>
  <c r="Q50" i="20"/>
  <c r="B6" i="30"/>
  <c r="D37" i="31" l="1"/>
  <c r="C21" i="11" s="1"/>
  <c r="P21" i="11" s="1"/>
  <c r="Q21" i="11" s="1"/>
  <c r="A41" i="23"/>
  <c r="B41" i="23" s="1"/>
  <c r="K22" i="11"/>
  <c r="S50" i="20"/>
  <c r="F23" i="11" s="1"/>
  <c r="P51" i="20"/>
  <c r="O51" i="20"/>
  <c r="Q51" i="20"/>
  <c r="D38" i="31" l="1"/>
  <c r="C22" i="11" s="1"/>
  <c r="P22" i="11" s="1"/>
  <c r="Q22" i="11" s="1"/>
  <c r="A42" i="23"/>
  <c r="B42" i="23" s="1"/>
  <c r="K23" i="11"/>
  <c r="S51" i="20"/>
  <c r="F24" i="11" s="1"/>
  <c r="O52" i="20"/>
  <c r="P52" i="20"/>
  <c r="Q52" i="20"/>
  <c r="D39" i="31" l="1"/>
  <c r="C23" i="11" s="1"/>
  <c r="P23" i="11" s="1"/>
  <c r="Q23" i="11" s="1"/>
  <c r="A43" i="23"/>
  <c r="B43" i="23" s="1"/>
  <c r="K24" i="11"/>
  <c r="S52" i="20"/>
  <c r="F25" i="11" s="1"/>
  <c r="P53" i="20"/>
  <c r="Q53" i="20"/>
  <c r="O53" i="20"/>
  <c r="D41" i="31" l="1"/>
  <c r="C25" i="11" s="1"/>
  <c r="D40" i="31"/>
  <c r="C24" i="11" s="1"/>
  <c r="P24" i="11" s="1"/>
  <c r="Q24" i="11" s="1"/>
  <c r="A44" i="23"/>
  <c r="B44" i="23" s="1"/>
  <c r="K25" i="11"/>
  <c r="S53" i="20"/>
  <c r="F26" i="11" s="1"/>
  <c r="O54" i="20"/>
  <c r="P54" i="20"/>
  <c r="Q54" i="20"/>
  <c r="P25" i="11" l="1"/>
  <c r="Q25" i="11" s="1"/>
  <c r="C36" i="11"/>
  <c r="D6" i="47" s="1"/>
  <c r="D12" i="47" s="1"/>
  <c r="C37" i="11"/>
  <c r="E6" i="47" s="1"/>
  <c r="E12" i="47" s="1"/>
  <c r="C14" i="47" s="1"/>
  <c r="A45" i="23"/>
  <c r="B45" i="23" s="1"/>
  <c r="K26" i="11"/>
  <c r="P26" i="11" s="1"/>
  <c r="Q26" i="11" s="1"/>
  <c r="S54" i="20"/>
  <c r="F27" i="11" s="1"/>
  <c r="O55" i="20"/>
  <c r="P55" i="20"/>
  <c r="Q55" i="20"/>
  <c r="A46" i="23" l="1"/>
  <c r="B46" i="23" s="1"/>
  <c r="K27" i="11"/>
  <c r="P27" i="11" s="1"/>
  <c r="Q27" i="11" s="1"/>
  <c r="S55" i="20"/>
  <c r="F28" i="11" s="1"/>
  <c r="O56" i="20"/>
  <c r="P56" i="20"/>
  <c r="Q56" i="20"/>
  <c r="A47" i="23" l="1"/>
  <c r="B47" i="23" s="1"/>
  <c r="K28" i="11"/>
  <c r="P28" i="11" s="1"/>
  <c r="Q28" i="11" s="1"/>
  <c r="S56" i="20"/>
  <c r="F29" i="11" s="1"/>
  <c r="O57" i="20"/>
  <c r="P57" i="20"/>
  <c r="Q57" i="20"/>
  <c r="A48" i="23" l="1"/>
  <c r="B48" i="23" s="1"/>
  <c r="K29" i="11"/>
  <c r="P29" i="11" s="1"/>
  <c r="Q29" i="11" s="1"/>
  <c r="S57" i="20"/>
  <c r="F30" i="11" s="1"/>
  <c r="O58" i="20"/>
  <c r="P58" i="20"/>
  <c r="Q58" i="20"/>
  <c r="A49" i="23" l="1"/>
  <c r="B49" i="23" s="1"/>
  <c r="K30" i="11"/>
  <c r="P30" i="11" s="1"/>
  <c r="Q30" i="11" s="1"/>
  <c r="S58" i="20"/>
  <c r="F31" i="11" s="1"/>
  <c r="O59" i="20"/>
  <c r="P59" i="20"/>
  <c r="Q59" i="20"/>
  <c r="A50" i="23" l="1"/>
  <c r="B50" i="23" s="1"/>
  <c r="K31" i="11"/>
  <c r="P31" i="11" s="1"/>
  <c r="Q31" i="11" s="1"/>
  <c r="S59" i="20"/>
  <c r="F32" i="11" s="1"/>
  <c r="O60" i="20"/>
  <c r="P60" i="20"/>
  <c r="Q60" i="20"/>
  <c r="A51" i="23" l="1"/>
  <c r="B51" i="23" s="1"/>
  <c r="K32" i="11"/>
  <c r="P32" i="11" s="1"/>
  <c r="Q32" i="11" s="1"/>
  <c r="S60" i="20"/>
  <c r="F33" i="11" s="1"/>
  <c r="O61" i="20"/>
  <c r="P61" i="20"/>
  <c r="Q61" i="20"/>
  <c r="A52" i="23" l="1"/>
  <c r="B52" i="23" s="1"/>
  <c r="K33" i="11"/>
  <c r="P33" i="11" s="1"/>
  <c r="Q33" i="11" s="1"/>
  <c r="S61" i="20"/>
  <c r="F34" i="11" s="1"/>
  <c r="O62" i="20"/>
  <c r="P62" i="20"/>
  <c r="Q62" i="20"/>
  <c r="K34" i="11" l="1"/>
  <c r="P34" i="11" s="1"/>
  <c r="Q34" i="11" s="1"/>
  <c r="S62" i="20"/>
  <c r="F35" i="11" s="1"/>
  <c r="F37" i="11" s="1"/>
  <c r="F36" i="11" l="1"/>
  <c r="K35" i="11"/>
  <c r="K37" i="11" s="1"/>
  <c r="K36" i="11" l="1"/>
  <c r="P35" i="11"/>
  <c r="Q35" i="11" l="1"/>
  <c r="Q37" i="11" s="1"/>
  <c r="P37" i="11"/>
  <c r="P36" i="11"/>
  <c r="B5" i="30" l="1"/>
  <c r="B8" i="30" l="1"/>
  <c r="B7" i="30"/>
  <c r="C15" i="47" l="1"/>
  <c r="E32" i="36"/>
</calcChain>
</file>

<file path=xl/sharedStrings.xml><?xml version="1.0" encoding="utf-8"?>
<sst xmlns="http://schemas.openxmlformats.org/spreadsheetml/2006/main" count="11644" uniqueCount="1695">
  <si>
    <t>Total Discounted Benefits</t>
  </si>
  <si>
    <t>Total Discounted Costs</t>
  </si>
  <si>
    <t>Net Present Value</t>
  </si>
  <si>
    <t>Benefit Cost Ratio</t>
  </si>
  <si>
    <t>Year</t>
  </si>
  <si>
    <t>Capital Cost</t>
  </si>
  <si>
    <t>Discounted Capital Cost</t>
  </si>
  <si>
    <t>Operations and Maintenance</t>
  </si>
  <si>
    <t>Safety</t>
  </si>
  <si>
    <t>Travel Time Savings</t>
  </si>
  <si>
    <t>Vehicle Operating Cost Savings</t>
  </si>
  <si>
    <t>Health Benefits</t>
  </si>
  <si>
    <t>Amenity Benefits</t>
  </si>
  <si>
    <t>Other Benefit 1</t>
  </si>
  <si>
    <t>Other Benefit 2</t>
  </si>
  <si>
    <t>Other Benefit 3</t>
  </si>
  <si>
    <t>Other Benefit 4</t>
  </si>
  <si>
    <t>Total Benefits</t>
  </si>
  <si>
    <t>Residual Value</t>
  </si>
  <si>
    <t>Total</t>
  </si>
  <si>
    <t>KABCO Level</t>
  </si>
  <si>
    <t>O - No Injury</t>
  </si>
  <si>
    <t>C - Possible Injury</t>
  </si>
  <si>
    <t>B - Non-incapacitating</t>
  </si>
  <si>
    <t>A - Incapacitating</t>
  </si>
  <si>
    <t>K - Killed</t>
  </si>
  <si>
    <t>U - Injured (Severity Unknown)</t>
  </si>
  <si>
    <t>Crash Type</t>
  </si>
  <si>
    <t>Injury Crash</t>
  </si>
  <si>
    <t>Fatal Crash</t>
  </si>
  <si>
    <t>Recommended Hourly Values of Travel Time Savings</t>
  </si>
  <si>
    <t>Category</t>
  </si>
  <si>
    <t>Hourly Value</t>
  </si>
  <si>
    <t>General Travel Time</t>
  </si>
  <si>
    <t>Truck Drivers</t>
  </si>
  <si>
    <t>Bus Drivers</t>
  </si>
  <si>
    <t>Transit Rail Operators</t>
  </si>
  <si>
    <t>Locomotive Engineers</t>
  </si>
  <si>
    <r>
      <t>Personal</t>
    </r>
    <r>
      <rPr>
        <vertAlign val="superscript"/>
        <sz val="11"/>
        <color rgb="FF1F497D"/>
        <rFont val="Times New Roman"/>
        <family val="1"/>
      </rPr>
      <t>1</t>
    </r>
  </si>
  <si>
    <r>
      <t>Business</t>
    </r>
    <r>
      <rPr>
        <vertAlign val="superscript"/>
        <sz val="11"/>
        <color rgb="FF1F497D"/>
        <rFont val="Times New Roman"/>
        <family val="1"/>
      </rPr>
      <t>2</t>
    </r>
  </si>
  <si>
    <r>
      <t>All Purpose</t>
    </r>
    <r>
      <rPr>
        <vertAlign val="superscript"/>
        <sz val="11"/>
        <color rgb="FF1F497D"/>
        <rFont val="Times New Roman"/>
        <family val="1"/>
      </rPr>
      <t>3</t>
    </r>
  </si>
  <si>
    <r>
      <t>Walking, Cycling, Waiting, Standing, and Transfer Time</t>
    </r>
    <r>
      <rPr>
        <vertAlign val="superscript"/>
        <sz val="11"/>
        <color rgb="FF1F497D"/>
        <rFont val="Times New Roman"/>
        <family val="1"/>
      </rPr>
      <t>4</t>
    </r>
  </si>
  <si>
    <r>
      <t>Commercial Vehicle Operators</t>
    </r>
    <r>
      <rPr>
        <vertAlign val="superscript"/>
        <sz val="11"/>
        <color rgb="FF1F497D"/>
        <rFont val="Times New Roman"/>
        <family val="1"/>
      </rPr>
      <t>5</t>
    </r>
  </si>
  <si>
    <t>2)  Weighted average based on a typical distribution of local travel by surface modes (88.2% personal, 11.8% business). Applicants should apply their own distribution of business versus personal travel where such information is available.</t>
  </si>
  <si>
    <t>4)  Should be applied only when actions affect those elements of travel time.</t>
  </si>
  <si>
    <t>5)  Includes only the value of time for the operator, not passengers or freight.</t>
  </si>
  <si>
    <t>Vehicle Type</t>
  </si>
  <si>
    <t>Average Occupancy</t>
  </si>
  <si>
    <t>Passenger Vehicles (Weekday Off-Peak)</t>
  </si>
  <si>
    <t>Passenger Vehicles (Weekend)</t>
  </si>
  <si>
    <t>Passenger Vehicles (All Travel)</t>
  </si>
  <si>
    <r>
      <t>Passenger Vehicles (Weekday Peak)</t>
    </r>
    <r>
      <rPr>
        <vertAlign val="superscript"/>
        <sz val="11"/>
        <color rgb="FF1F497D"/>
        <rFont val="Times New Roman"/>
        <family val="1"/>
      </rPr>
      <t>1</t>
    </r>
  </si>
  <si>
    <t>1) Weekday peak period values calculated for trips starting between 6:00 AM-8:59 AM and 4:00 PM-6:59 PM.</t>
  </si>
  <si>
    <t>1)  Based on an average light duty vehicle and includes operating costs such as gasoline, maintenance, tires, and depreciation (assuming an average of 15,000 miles driven per year). The value omits other ownership costs that are mostly fixed or transfers (insurance, license, registration, taxes, and financing charges).</t>
  </si>
  <si>
    <t>2)  Value includes fuel costs, truck/trailer lease or purchase payments, repair and maintenance, truck insurance premiums, permits and licenses, and tires. The value omits tolls (which are transfers), and driver wages and benefits (which are already included in the value of travel time savings).</t>
  </si>
  <si>
    <t>Emission Type</t>
  </si>
  <si>
    <t>Table A-6: Damage Costs for Emissions per Metric Ton*</t>
  </si>
  <si>
    <t>Table A-7: Inflation Adjustment Values</t>
  </si>
  <si>
    <t>Base Year of Nominal Dollar</t>
  </si>
  <si>
    <t>Table A-8: Pedestrian Facility Improvements Revealed Preference Values</t>
  </si>
  <si>
    <t>Improvement Type</t>
  </si>
  <si>
    <t>Reducing Upslope by 1%</t>
  </si>
  <si>
    <t>Reducing Traffic Volume by 1 Vehicle per Hour (for ADT &lt;55,000)</t>
  </si>
  <si>
    <t>Install Signal for Pedestrian Crossing on Roadway with Volumes ≥13,000 Vehicles per Day</t>
  </si>
  <si>
    <t>1)   These values assume an average walking trip speed of 3.2 miles per hour. For the mile-based benefits, the estimated value per user should be capped at 0.86 miles, the average length of a walking trip in the 2017 National Household Travel Survey, unless the applicant has specific documentation suggesting longer trips or that a trip shorter than 0.86 miles is not feasible on the facility in question. In other words, applicants should not assume all pedestrians travel the full distance of a proposed facility if the facility is longer than 0.86 miles without a clear justification for doing so.</t>
  </si>
  <si>
    <t>2)   Value for sidewalk width expansion applicable for sidewalks up to approximately 31 feet, benefits for expansions beyond this width should be described qualitatively.</t>
  </si>
  <si>
    <t>Table A-9: Cycling Facility Improvement Revealed Preference Values</t>
  </si>
  <si>
    <t>Facility Type</t>
  </si>
  <si>
    <t>Cycling Path with At-Grade Crossings</t>
  </si>
  <si>
    <t>Dedicated Cycling Lane</t>
  </si>
  <si>
    <t>Cycling Boulevard/“Sharrow”</t>
  </si>
  <si>
    <t>Separated Cycle Track</t>
  </si>
  <si>
    <r>
      <t>Cycling Path with no At-Grade Crossings</t>
    </r>
    <r>
      <rPr>
        <vertAlign val="superscript"/>
        <sz val="11"/>
        <color rgb="FF1F497D"/>
        <rFont val="Times New Roman"/>
        <family val="1"/>
      </rPr>
      <t>2</t>
    </r>
  </si>
  <si>
    <t>2) The value for a cycling path with no at-grade intersections is higher due to an assumption of higher average speed of 12.1 miles per hour, resulting in less time on the facility, which lowers journey quality benefits but increases travel time savings.</t>
  </si>
  <si>
    <t>1) Values should only be applied over sections for which a comparable parallel facility is not available, and only applies to miles cycled on the project facility. These values assume an average cycling trip speed of 9.8 miles per hour or, in the case of off-street paths with no at-grade crossings, a free-flow cycling speed of 12.1 miles per hour. The estimated value per cyclist should be capped at 2.38 miles, the average length of a cycling trip in the 2017 National Household Travel Survey, unless the applicant has specific documentation suggesting longer trips or that a trip shorter than 2.38 miles is not feasible on the facility in question. In other words, applicants should not assume all cyclists travel the full distance of a proposed facility if the facility is longer than 2.38 miles without a clear justification for doing so.</t>
  </si>
  <si>
    <r>
      <t>Light Duty Vehicles</t>
    </r>
    <r>
      <rPr>
        <vertAlign val="superscript"/>
        <sz val="11"/>
        <color theme="1"/>
        <rFont val="Times New Roman"/>
        <family val="1"/>
      </rPr>
      <t>1</t>
    </r>
  </si>
  <si>
    <r>
      <t>Commercial Trucks</t>
    </r>
    <r>
      <rPr>
        <vertAlign val="superscript"/>
        <sz val="11"/>
        <color theme="1"/>
        <rFont val="Times New Roman"/>
        <family val="1"/>
      </rPr>
      <t>2</t>
    </r>
  </si>
  <si>
    <r>
      <t>**Applicants should be careful to not apply the PM</t>
    </r>
    <r>
      <rPr>
        <vertAlign val="subscript"/>
        <sz val="11"/>
        <color rgb="FF1F497D"/>
        <rFont val="Times New Roman"/>
        <family val="1"/>
      </rPr>
      <t>2.5</t>
    </r>
    <r>
      <rPr>
        <sz val="11"/>
        <color rgb="FF1F497D"/>
        <rFont val="Times New Roman"/>
        <family val="1"/>
      </rPr>
      <t xml:space="preserve"> value to estimates of total emissions of PM</t>
    </r>
    <r>
      <rPr>
        <vertAlign val="subscript"/>
        <sz val="11"/>
        <color rgb="FF1F497D"/>
        <rFont val="Times New Roman"/>
        <family val="1"/>
      </rPr>
      <t>10</t>
    </r>
    <r>
      <rPr>
        <sz val="11"/>
        <color rgb="FF1F497D"/>
        <rFont val="Times New Roman"/>
        <family val="1"/>
      </rPr>
      <t>.</t>
    </r>
  </si>
  <si>
    <r>
      <t>Expand Sidewalk (per foot of added width)</t>
    </r>
    <r>
      <rPr>
        <vertAlign val="superscript"/>
        <sz val="11"/>
        <color rgb="FF1F497D"/>
        <rFont val="Times New Roman"/>
        <family val="1"/>
      </rPr>
      <t>2</t>
    </r>
  </si>
  <si>
    <t>Reducing Traffic Speed by 1 mph (for speeds ≤45 mph)</t>
  </si>
  <si>
    <t>Install Marked-Crosswalk on Roadway with Volumes ≥10,000 Vehicle per Day</t>
  </si>
  <si>
    <t>Table A-10: Transit Facility Amenity Revealed and Stated Preference Values</t>
  </si>
  <si>
    <t>Attribute Type</t>
  </si>
  <si>
    <t>Bus</t>
  </si>
  <si>
    <t>Bus Stop</t>
  </si>
  <si>
    <t>Rail Station</t>
  </si>
  <si>
    <t>Light Rail /Streetcar Stop</t>
  </si>
  <si>
    <t>Clocks</t>
  </si>
  <si>
    <t>Electronic Real-Time Information Displays</t>
  </si>
  <si>
    <t>Information /Emergency Button</t>
  </si>
  <si>
    <t>PA System</t>
  </si>
  <si>
    <t>Restroom Availability</t>
  </si>
  <si>
    <t>Retail/Food Outlet Availability</t>
  </si>
  <si>
    <t>Staff Availability</t>
  </si>
  <si>
    <t>Step-Free Access to Station/Stop</t>
  </si>
  <si>
    <t>Step-Free Access to Vehicle</t>
  </si>
  <si>
    <t>Surveillance Cameras</t>
  </si>
  <si>
    <t>Ticket Machines</t>
  </si>
  <si>
    <t>Timetables</t>
  </si>
  <si>
    <t>Bike Facilities</t>
  </si>
  <si>
    <t>*</t>
  </si>
  <si>
    <t>Car Access Facilities</t>
  </si>
  <si>
    <t>Elevator</t>
  </si>
  <si>
    <t>Escalators</t>
  </si>
  <si>
    <t>On-Site Ticket Office</t>
  </si>
  <si>
    <t>Taxi Pickup/Dropoff</t>
  </si>
  <si>
    <r>
      <t>Platform/Stop Seating Availability</t>
    </r>
    <r>
      <rPr>
        <vertAlign val="superscript"/>
        <sz val="11"/>
        <color rgb="FF1F497D"/>
        <rFont val="Times New Roman"/>
        <family val="1"/>
      </rPr>
      <t>1</t>
    </r>
  </si>
  <si>
    <r>
      <t>Platform/Stop Weather Protection</t>
    </r>
    <r>
      <rPr>
        <vertAlign val="superscript"/>
        <sz val="11"/>
        <color rgb="FF1F497D"/>
        <rFont val="Times New Roman"/>
        <family val="1"/>
      </rPr>
      <t>1</t>
    </r>
  </si>
  <si>
    <r>
      <t>Temperature Controlled Environment</t>
    </r>
    <r>
      <rPr>
        <vertAlign val="superscript"/>
        <sz val="11"/>
        <color rgb="FF1F497D"/>
        <rFont val="Times New Roman"/>
        <family val="1"/>
      </rPr>
      <t>1</t>
    </r>
  </si>
  <si>
    <r>
      <t>Waiting Room</t>
    </r>
    <r>
      <rPr>
        <vertAlign val="superscript"/>
        <sz val="11"/>
        <color rgb="FF1F497D"/>
        <rFont val="Times New Roman"/>
        <family val="1"/>
      </rPr>
      <t>1</t>
    </r>
  </si>
  <si>
    <t>1)  Note that seating availability and weather protection refer to seats, canopies, or wind shelters on the platforms themselves, whereas temperature-controlled environment refers to an indoor facility with heating and air conditioning availability. A waiting room refers to a designated indoor environment with seating availability, separate from platform seating, which may or may not be temperature controlled.</t>
  </si>
  <si>
    <t>Table A-11: Transit Vehicle Amenity Values</t>
  </si>
  <si>
    <t>Light Rail /Streetcar</t>
  </si>
  <si>
    <t>Rail</t>
  </si>
  <si>
    <t>Handrails</t>
  </si>
  <si>
    <t>Luggage Storage</t>
  </si>
  <si>
    <t>Temperature Control</t>
  </si>
  <si>
    <t>Wheelchair Space</t>
  </si>
  <si>
    <t>Food Service Availability</t>
  </si>
  <si>
    <t>Table A-12: Transit Mode Ride and Boarding Quality Revealed Preference Values</t>
  </si>
  <si>
    <t>Transit Mode</t>
  </si>
  <si>
    <t>Streetcar or On-Street Light Rail Transit</t>
  </si>
  <si>
    <t>Off-Street Light Rail Transit</t>
  </si>
  <si>
    <t>Heavy Rail</t>
  </si>
  <si>
    <t>Commuter Rail</t>
  </si>
  <si>
    <r>
      <t>Low-Intensive BRT</t>
    </r>
    <r>
      <rPr>
        <vertAlign val="superscript"/>
        <sz val="11"/>
        <color theme="1"/>
        <rFont val="Calibri"/>
        <family val="2"/>
        <scheme val="minor"/>
      </rPr>
      <t>2</t>
    </r>
  </si>
  <si>
    <r>
      <t>Medium-Intensive BRT</t>
    </r>
    <r>
      <rPr>
        <vertAlign val="superscript"/>
        <sz val="11"/>
        <color theme="1"/>
        <rFont val="Calibri"/>
        <family val="2"/>
        <scheme val="minor"/>
      </rPr>
      <t>2</t>
    </r>
  </si>
  <si>
    <r>
      <t>High-Intensive BRT</t>
    </r>
    <r>
      <rPr>
        <vertAlign val="superscript"/>
        <sz val="11"/>
        <color theme="1"/>
        <rFont val="Calibri"/>
        <family val="2"/>
        <scheme val="minor"/>
      </rPr>
      <t>2,3</t>
    </r>
  </si>
  <si>
    <r>
      <t>Ferry</t>
    </r>
    <r>
      <rPr>
        <vertAlign val="superscript"/>
        <sz val="11"/>
        <color theme="1"/>
        <rFont val="Calibri"/>
        <family val="2"/>
        <scheme val="minor"/>
      </rPr>
      <t>3</t>
    </r>
  </si>
  <si>
    <t>1) Values applicable when base case is transit use of standard on-street bus, the reference case used to create these values. When comparing other types of modal shift, the differences between the relevant modal values above should be used.</t>
  </si>
  <si>
    <t>2) Low-intensive BRT would include special service branding, low floor vehicles, at least 50 percent of route in dedicated lanes and potentially shared turns and the remainder in mixed-traffic, some signal priority, level boarding, off-board fare collection, and visually distinct stations. Medium-intensive BRT would include features of Low-intensive BRT but have 100 percent of the route in dedicated lanes, traffic signal priority throughout the corridor, and median-running service or right-turn prohibitions. High-intensive BRT would have a completely sealed right-of-way with no traffic interference and traffic signal preemption, akin to a “rubber-tired railroad.”</t>
  </si>
  <si>
    <t>Table A-13: Mortality Reduction Benefits of Induced Active Transportation Values</t>
  </si>
  <si>
    <t>Table A-14: External Highway Use Costs</t>
  </si>
  <si>
    <t>Mode</t>
  </si>
  <si>
    <r>
      <t>Walking</t>
    </r>
    <r>
      <rPr>
        <vertAlign val="superscript"/>
        <sz val="11"/>
        <color theme="1"/>
        <rFont val="Calibri"/>
        <family val="2"/>
        <scheme val="minor"/>
      </rPr>
      <t>1</t>
    </r>
  </si>
  <si>
    <r>
      <t>Cycling</t>
    </r>
    <r>
      <rPr>
        <vertAlign val="superscript"/>
        <sz val="11"/>
        <color theme="1"/>
        <rFont val="Calibri"/>
        <family val="2"/>
        <scheme val="minor"/>
      </rPr>
      <t>2</t>
    </r>
  </si>
  <si>
    <t>Ages 20-74</t>
  </si>
  <si>
    <t>Ages 20-64</t>
  </si>
  <si>
    <t xml:space="preserve">1)   Based on an assumed average walking speed of 3.2 miles per hour, an assumed average age of the relevant age range (20-74 years) of 45, a corresponding baseline mortality risk of 267.1 per 100,000, an annual risk reduction of 8.6 percent per daily mile walked, and an average walking trip distance of 0.86 miles. </t>
  </si>
  <si>
    <t>2)   Based on an assumed average cycling speed of 9.8 miles per hour, an assumed average age of the relevant age range (20-64 years) of 42, a corresponding baseline mortality risk of 217.9 per 100,000, an annual risk reduction of 4.3 percent per daily mile cycled, and an average cycling trip distance of 2.38 miles.</t>
  </si>
  <si>
    <t>3)   Absent more localized data on the proportion of the expected users falling into the age ranges above, applicants may apply a general assumption of 68% and 59% of overall induced trips falling into the walking and cycling age ranges, respectively, assuming a distribution matching the national average.</t>
  </si>
  <si>
    <t xml:space="preserve">4)   Applicants should ensure these monetization values are only applied to trips induced from non-active transportation modes within the relevant age ranges for each mode. Absent more localized data on the proportion of induced trips coming from non-active transportation modes, applicants may apply a general assumption of 89% of induced trips falling into that category, assuming a distribution matching the national average travel pattern. </t>
  </si>
  <si>
    <t>Vehicle Type and Location</t>
  </si>
  <si>
    <t>Congestion</t>
  </si>
  <si>
    <t>Noise</t>
  </si>
  <si>
    <t>Safety Cost</t>
  </si>
  <si>
    <t>Light-Duty Vehicles - Urban</t>
  </si>
  <si>
    <t>Light-Duty Vehicles - Rural</t>
  </si>
  <si>
    <t>Light-Duty Vehicles – All Locations</t>
  </si>
  <si>
    <t>Buses and Trucks - Urban</t>
  </si>
  <si>
    <t>Buses and Trucks - Rural</t>
  </si>
  <si>
    <t>Buses and Trucks – All Locations</t>
  </si>
  <si>
    <t>All Vehicles - Urban</t>
  </si>
  <si>
    <t>All Vehicles - Rural</t>
  </si>
  <si>
    <t>All Vehicles – All Locations</t>
  </si>
  <si>
    <t>Capital Cost in Year-of-Expenditure Dollars</t>
  </si>
  <si>
    <t>3) The Capital Investment Grant program has to date not completed a before-and-after study of ridership on a ferry project or a high-intensive BRT as described above, and thus does not have a calibrated estimate for the fixedguideway setting for those modes. Thus, these values represent the current best estimates, considering average station and ride quality relative to other transit modes.</t>
  </si>
  <si>
    <t>&lt;- Benefit Name</t>
  </si>
  <si>
    <t>Model Base Year</t>
  </si>
  <si>
    <t>Workspace - Applicants may create new sheets for more space</t>
  </si>
  <si>
    <t>Note that not all projects will have all benefit categories. Conversely, if more categories are needed, applicants may need to add additional columns, but be sure to edit the formula under "Total Benefits" to ensure all benefits are being correctly summed.</t>
  </si>
  <si>
    <t>Net Change in Operations and Maintenance Costs</t>
  </si>
  <si>
    <t>Opening Year</t>
  </si>
  <si>
    <t>Length of Construction/Project Development Period (in Years)</t>
  </si>
  <si>
    <t>Operational Period Length</t>
  </si>
  <si>
    <t>&lt;-Enter a whole number value between 1 and 15, only include project development years after the model base year</t>
  </si>
  <si>
    <t>Safety Benefits</t>
  </si>
  <si>
    <t>Travel Time Benefits</t>
  </si>
  <si>
    <t>Final Analysis Year</t>
  </si>
  <si>
    <t>No Build Operations and Maintenance Costs</t>
  </si>
  <si>
    <t>Build Operations and Maintenance Costs</t>
  </si>
  <si>
    <t>No Build Safety Costs</t>
  </si>
  <si>
    <t>Build Safety Costs</t>
  </si>
  <si>
    <t>No Build Travel Time Costs</t>
  </si>
  <si>
    <t>Build Travel Time Costs</t>
  </si>
  <si>
    <t>No Build Vehicle Operating Costs</t>
  </si>
  <si>
    <t>Build Vehicle Operating Costs</t>
  </si>
  <si>
    <t>Discounted Total</t>
  </si>
  <si>
    <t>Applicants should fill out this sheet first, before moving on to the remainder of the template sheets.</t>
  </si>
  <si>
    <t xml:space="preserve">In this "Capital Costs" sheet,  values should be entered as year-of-expenditure dollars. The template will automatically apply discounting to all costs and benefits for you. </t>
  </si>
  <si>
    <t>Business</t>
  </si>
  <si>
    <t>All Purpose</t>
  </si>
  <si>
    <t>Walking, Cycling, Waiting, Standing, and Transfer Time</t>
  </si>
  <si>
    <t>Commercial Vehicle Operators</t>
  </si>
  <si>
    <t>Personal</t>
  </si>
  <si>
    <t>Pedestrians</t>
  </si>
  <si>
    <t>Cyclists</t>
  </si>
  <si>
    <t>Vehicles</t>
  </si>
  <si>
    <t>Trucks</t>
  </si>
  <si>
    <t>Trains</t>
  </si>
  <si>
    <t>No Build</t>
  </si>
  <si>
    <t>Build</t>
  </si>
  <si>
    <t>[Other Modes]</t>
  </si>
  <si>
    <t>Light Duty Vehicles</t>
  </si>
  <si>
    <t>Commercial Trucks</t>
  </si>
  <si>
    <t>Applicable Age Range</t>
  </si>
  <si>
    <t>Walking</t>
  </si>
  <si>
    <t>Cycling</t>
  </si>
  <si>
    <t>---------------------------------------------------------------------------------------------------------------------------------------------------------------------------------------------------------------</t>
  </si>
  <si>
    <t>-------------------------------------------------------------------------------------------------------------------------------------------------------------------------------------------------------------</t>
  </si>
  <si>
    <t>What You Need</t>
  </si>
  <si>
    <t>Notes</t>
  </si>
  <si>
    <t>Parameter Values</t>
  </si>
  <si>
    <t>-</t>
  </si>
  <si>
    <r>
      <t>Applicable Age Range</t>
    </r>
    <r>
      <rPr>
        <vertAlign val="superscript"/>
        <sz val="11"/>
        <color theme="0"/>
        <rFont val="Calibri"/>
        <family val="2"/>
        <scheme val="minor"/>
      </rPr>
      <t>3</t>
    </r>
  </si>
  <si>
    <r>
      <t>NO</t>
    </r>
    <r>
      <rPr>
        <vertAlign val="subscript"/>
        <sz val="11"/>
        <color theme="0"/>
        <rFont val="Times New Roman"/>
        <family val="1"/>
      </rPr>
      <t>X</t>
    </r>
  </si>
  <si>
    <r>
      <t>SO</t>
    </r>
    <r>
      <rPr>
        <vertAlign val="subscript"/>
        <sz val="11"/>
        <color theme="0"/>
        <rFont val="Times New Roman"/>
        <family val="1"/>
      </rPr>
      <t>X</t>
    </r>
  </si>
  <si>
    <r>
      <t>PM</t>
    </r>
    <r>
      <rPr>
        <vertAlign val="subscript"/>
        <sz val="11"/>
        <color theme="0"/>
        <rFont val="Times New Roman"/>
        <family val="1"/>
      </rPr>
      <t>2.5</t>
    </r>
    <r>
      <rPr>
        <sz val="11"/>
        <color theme="0"/>
        <rFont val="Times New Roman"/>
        <family val="1"/>
      </rPr>
      <t>**</t>
    </r>
  </si>
  <si>
    <t>Project Information</t>
  </si>
  <si>
    <t>Table 1. Project Information</t>
  </si>
  <si>
    <t>Variable</t>
  </si>
  <si>
    <t>Value</t>
  </si>
  <si>
    <t>If you do not wish to use this sheet, simply leave the values blank and move on to the next sheet.</t>
  </si>
  <si>
    <t xml:space="preserve">Users are free to use only the necessary columns for their application and/or to add additional columns as necessary. </t>
  </si>
  <si>
    <t>Table 1. BCA Results</t>
  </si>
  <si>
    <t>Table 1. Volumes by Mode</t>
  </si>
  <si>
    <t>Capital Costs</t>
  </si>
  <si>
    <t>Benefit Cost Analysis Results</t>
  </si>
  <si>
    <t>Summary by Benefit Area</t>
  </si>
  <si>
    <t>Operations and Maintenance Costs</t>
  </si>
  <si>
    <t>Vehicle Operating Costs</t>
  </si>
  <si>
    <t>Emissions Reduction</t>
  </si>
  <si>
    <r>
      <t>No Build NO</t>
    </r>
    <r>
      <rPr>
        <vertAlign val="subscript"/>
        <sz val="11"/>
        <color theme="0"/>
        <rFont val="Calibri"/>
        <family val="2"/>
        <scheme val="minor"/>
      </rPr>
      <t>x</t>
    </r>
    <r>
      <rPr>
        <sz val="11"/>
        <color theme="0"/>
        <rFont val="Calibri"/>
        <family val="2"/>
        <scheme val="minor"/>
      </rPr>
      <t xml:space="preserve"> (mt)</t>
    </r>
  </si>
  <si>
    <r>
      <t>Build NO</t>
    </r>
    <r>
      <rPr>
        <vertAlign val="subscript"/>
        <sz val="11"/>
        <color theme="0"/>
        <rFont val="Calibri"/>
        <family val="2"/>
        <scheme val="minor"/>
      </rPr>
      <t>x</t>
    </r>
    <r>
      <rPr>
        <sz val="11"/>
        <color theme="0"/>
        <rFont val="Calibri"/>
        <family val="2"/>
        <scheme val="minor"/>
      </rPr>
      <t xml:space="preserve"> (mt)</t>
    </r>
  </si>
  <si>
    <r>
      <t>No Build SO</t>
    </r>
    <r>
      <rPr>
        <vertAlign val="subscript"/>
        <sz val="11"/>
        <color theme="0"/>
        <rFont val="Calibri"/>
        <family val="2"/>
        <scheme val="minor"/>
      </rPr>
      <t>x</t>
    </r>
    <r>
      <rPr>
        <sz val="11"/>
        <color theme="0"/>
        <rFont val="Calibri"/>
        <family val="2"/>
        <scheme val="minor"/>
      </rPr>
      <t xml:space="preserve"> (mt)</t>
    </r>
  </si>
  <si>
    <r>
      <t>Build SO</t>
    </r>
    <r>
      <rPr>
        <vertAlign val="subscript"/>
        <sz val="11"/>
        <color theme="0"/>
        <rFont val="Calibri"/>
        <family val="2"/>
        <scheme val="minor"/>
      </rPr>
      <t>x</t>
    </r>
    <r>
      <rPr>
        <sz val="11"/>
        <color theme="0"/>
        <rFont val="Calibri"/>
        <family val="2"/>
        <scheme val="minor"/>
      </rPr>
      <t xml:space="preserve"> (mt)</t>
    </r>
  </si>
  <si>
    <r>
      <t>No Build PM</t>
    </r>
    <r>
      <rPr>
        <vertAlign val="subscript"/>
        <sz val="11"/>
        <color theme="0"/>
        <rFont val="Calibri"/>
        <family val="2"/>
        <scheme val="minor"/>
      </rPr>
      <t>2.5</t>
    </r>
    <r>
      <rPr>
        <sz val="11"/>
        <color theme="0"/>
        <rFont val="Calibri"/>
        <family val="2"/>
        <scheme val="minor"/>
      </rPr>
      <t xml:space="preserve"> (mt)</t>
    </r>
  </si>
  <si>
    <r>
      <t>Build PM</t>
    </r>
    <r>
      <rPr>
        <vertAlign val="subscript"/>
        <sz val="11"/>
        <color theme="0"/>
        <rFont val="Calibri"/>
        <family val="2"/>
        <scheme val="minor"/>
      </rPr>
      <t>2.5</t>
    </r>
    <r>
      <rPr>
        <sz val="11"/>
        <color theme="0"/>
        <rFont val="Calibri"/>
        <family val="2"/>
        <scheme val="minor"/>
      </rPr>
      <t xml:space="preserve"> (mt)</t>
    </r>
  </si>
  <si>
    <r>
      <t>NO</t>
    </r>
    <r>
      <rPr>
        <vertAlign val="subscript"/>
        <sz val="11"/>
        <color theme="0"/>
        <rFont val="Calibri"/>
        <family val="2"/>
        <scheme val="minor"/>
      </rPr>
      <t>x</t>
    </r>
  </si>
  <si>
    <r>
      <t>SO</t>
    </r>
    <r>
      <rPr>
        <vertAlign val="subscript"/>
        <sz val="11"/>
        <color theme="0"/>
        <rFont val="Calibri"/>
        <family val="2"/>
        <scheme val="minor"/>
      </rPr>
      <t>x</t>
    </r>
  </si>
  <si>
    <r>
      <t>PM</t>
    </r>
    <r>
      <rPr>
        <vertAlign val="subscript"/>
        <sz val="11"/>
        <color theme="0"/>
        <rFont val="Calibri"/>
        <family val="2"/>
        <scheme val="minor"/>
      </rPr>
      <t>2.5</t>
    </r>
  </si>
  <si>
    <t>This is an extra benefit sheet for an additional benefit category not captured elsewhere</t>
  </si>
  <si>
    <t xml:space="preserve">Note that if more than four "other benefit" categories are needed, applicants may create a copy of this sheet (and rename accordingly). </t>
  </si>
  <si>
    <t>Additionally, the formulas in the "Total Benefits" column may need to be adjusted to ensure all benefits are being summed correctly.</t>
  </si>
  <si>
    <t>Additionally, the "Summary" sheet will need to be edited to include additional columns for benefits.</t>
  </si>
  <si>
    <t>Table 1. Summary of Benefits</t>
  </si>
  <si>
    <t>Table 2. Summary of Costs</t>
  </si>
  <si>
    <t>Note that not all projects will have benefits in all categories. In such cases, simply leave the input values in that sheet as zeros and move to the next sheet.</t>
  </si>
  <si>
    <t>Table 1. Recommended Monetization Values</t>
  </si>
  <si>
    <t>Table 2. Safety</t>
  </si>
  <si>
    <t>Table 2. Travel Time Savings</t>
  </si>
  <si>
    <t>Table 2. Vehicle Operating Costs</t>
  </si>
  <si>
    <t>Table 2. Amenity Benefits</t>
  </si>
  <si>
    <t>Table 2. Health Benefits</t>
  </si>
  <si>
    <t>Table 1. Other Benefit</t>
  </si>
  <si>
    <t xml:space="preserve">For recommended monetization values, please refer to the Parameter Values tab directly. </t>
  </si>
  <si>
    <t>There are numerous potential values for pedestrian facilities, bicycle facilities, transit vehicles, and transit stations.</t>
  </si>
  <si>
    <t>Table 1. Operations and Maintenance</t>
  </si>
  <si>
    <t>Table 1. Capital Costs</t>
  </si>
  <si>
    <r>
      <t xml:space="preserve">•  	</t>
    </r>
    <r>
      <rPr>
        <b/>
        <sz val="11"/>
        <rFont val="Calibri"/>
        <family val="2"/>
        <scheme val="minor"/>
      </rPr>
      <t xml:space="preserve">Deleting a Tab. </t>
    </r>
    <r>
      <rPr>
        <sz val="11"/>
        <rFont val="Calibri"/>
        <family val="2"/>
        <scheme val="minor"/>
      </rPr>
      <t>Do not delete tabs. If a tab is not needed, simply skip it.</t>
    </r>
  </si>
  <si>
    <t>Avoided Externalities</t>
  </si>
  <si>
    <t>Congestion Cost per VMT</t>
  </si>
  <si>
    <t>Noise Cost per VMT</t>
  </si>
  <si>
    <t>Safety Cost per VMT</t>
  </si>
  <si>
    <t>Table 2. Avoided Externality Benefits</t>
  </si>
  <si>
    <t>Avoided Highway Externality</t>
  </si>
  <si>
    <r>
      <t xml:space="preserve">•  	</t>
    </r>
    <r>
      <rPr>
        <b/>
        <sz val="11"/>
        <rFont val="Calibri"/>
        <family val="2"/>
        <scheme val="minor"/>
      </rPr>
      <t xml:space="preserve">Build vs No Build. </t>
    </r>
    <r>
      <rPr>
        <sz val="11"/>
        <rFont val="Calibri"/>
        <family val="2"/>
        <scheme val="minor"/>
      </rPr>
      <t>If you only have data for the difference between the Build and No Build scenarios, enter this data into the "Build" column and leave the "No Build" values at $0. This will still appropriately estimate the benefit</t>
    </r>
  </si>
  <si>
    <t>&lt;-The BCR will be estimated once capital costs are entered in the 'Capital Cost' sheet</t>
  </si>
  <si>
    <t>Table A-1a: Value of Reduced Fatalities, Injuries, and Crashes</t>
  </si>
  <si>
    <t>PDO Crash</t>
  </si>
  <si>
    <t>Table A-2: Value of Travel Time Savings</t>
  </si>
  <si>
    <t>Table A-3: Average Vehicle Occupancy Rates for Highway Passenger Vehicles</t>
  </si>
  <si>
    <t>Table A-4: Vehicle Operating Costs</t>
  </si>
  <si>
    <t>Table A-5: Train Operating and Social Costs</t>
  </si>
  <si>
    <t>*Applicants should carefully note whether their emissions data is reported in short tons or metric tons. A metric ton is equal to 1.1023 short tons.</t>
  </si>
  <si>
    <t>Train and Movement Type</t>
  </si>
  <si>
    <t>Idling</t>
  </si>
  <si>
    <t>Freight Train</t>
  </si>
  <si>
    <t>Commuter Train</t>
  </si>
  <si>
    <t>Amtrak Long-Distance</t>
  </si>
  <si>
    <t>Amtrak State-Supported</t>
  </si>
  <si>
    <t>Hauling</t>
  </si>
  <si>
    <t>All Movements</t>
  </si>
  <si>
    <t>Freight Railcar</t>
  </si>
  <si>
    <t>Operating Costs</t>
  </si>
  <si>
    <r>
      <t>Operating Costs</t>
    </r>
    <r>
      <rPr>
        <vertAlign val="superscript"/>
        <sz val="11"/>
        <color theme="0"/>
        <rFont val="Times New Roman"/>
        <family val="1"/>
      </rPr>
      <t>1</t>
    </r>
  </si>
  <si>
    <t>Table 2. Emissions</t>
  </si>
  <si>
    <t>Table 1. Emission Costs per VMT and Train-Hour</t>
  </si>
  <si>
    <t>First Year of Project Development/Construction</t>
  </si>
  <si>
    <t>Table 2. Residual Value</t>
  </si>
  <si>
    <t>Table 1. Useful Life</t>
  </si>
  <si>
    <t>Project Component</t>
  </si>
  <si>
    <t>[Text Describing Project Component]</t>
  </si>
  <si>
    <t>Useful Life (Years)</t>
  </si>
  <si>
    <r>
      <t xml:space="preserve">• </t>
    </r>
    <r>
      <rPr>
        <b/>
        <sz val="11"/>
        <rFont val="Calibri"/>
        <family val="2"/>
        <scheme val="minor"/>
      </rPr>
      <t>Input, Optional, and No-Input cells.</t>
    </r>
  </si>
  <si>
    <r>
      <rPr>
        <b/>
        <sz val="11"/>
        <rFont val="Calibri"/>
        <family val="2"/>
        <scheme val="minor"/>
      </rPr>
      <t>•  Parameter Values.</t>
    </r>
    <r>
      <rPr>
        <sz val="11"/>
        <rFont val="Calibri"/>
        <family val="2"/>
        <scheme val="minor"/>
      </rPr>
      <t xml:space="preserve"> This template provides a copy of the Appendix A tables from the USDOT BCA guidance document in a spreadsheet format, located on the "Parameter Values" sheet. </t>
    </r>
  </si>
  <si>
    <t>Source: USDOT BCA Guidance (Appendix A)</t>
  </si>
  <si>
    <t>This sheet provides a copy of parameter and monetization values from Appendix A of the USDOT BCA Guidance, and is provided for convenience.</t>
  </si>
  <si>
    <t>User Volumes</t>
  </si>
  <si>
    <t>Users can use whichever units are of interest to their application (for example: number of users, average annual daily traffic, person miles traveled, vehicle miles traveled).</t>
  </si>
  <si>
    <t>Whether amounts are entered in dollar form OR direct units of emissions, the template will automatically apply discounting to all costs and benefits for you.</t>
  </si>
  <si>
    <t xml:space="preserve">To calculate overall residual value for the entire project automatically, simply enter a useful life in the first row of Table 1 below. </t>
  </si>
  <si>
    <t>Total Residual Value</t>
  </si>
  <si>
    <t>Overall Project if One Component</t>
  </si>
  <si>
    <t>If there are multiple distinct components with unique useful lives, use multiple rows as needed and override the formula and names in the input cells of Table 1 below.</t>
  </si>
  <si>
    <t>&lt;-For project development costs prior to the model base year, enter into the "Capital Cost" tab in the cell for previously incurred costs</t>
  </si>
  <si>
    <t>For projects that involve capacity expansion or represent purely operational improvements, no residual value should be assumed.</t>
  </si>
  <si>
    <t>To remove the residual value, please enter "0" in the blue cell below in lieu of the automatic calculation</t>
  </si>
  <si>
    <t>Applicants should use this sheet for general operations and maintenance, as well as any recapitalization costs that will be needed for project components over the course of the analysis period.</t>
  </si>
  <si>
    <t>To avoid double-counting of benefits, applicants should not enter the same emission data as BOTH a dollar value and as units of emissions.</t>
  </si>
  <si>
    <t>Unique to this sheet, the template will automatically apply the correct monetization values for units of emissions.</t>
  </si>
  <si>
    <t>USDOT Benefit-Cost Analysis Spreadsheet Template</t>
  </si>
  <si>
    <t>What is the USDOT Benefit-Cost Analysis Spreadsheet Template?</t>
  </si>
  <si>
    <t xml:space="preserve">The USDOT Benefit-Cost Analysis Spreadsheet Template is being offered as a resource to applicants to help them get started on their BCA. Applicants are NOT required to use this template, it is simply offered as a convenience. </t>
  </si>
  <si>
    <t>•	  Understanding of the project and the problem it is intended to solve.</t>
  </si>
  <si>
    <t>•	  The estimated costs of the project.</t>
  </si>
  <si>
    <t>•	  Information needed to estimate the benefits of the project (e.g., number users, baseline conditions, measures of effectiveness, expected service life).</t>
  </si>
  <si>
    <r>
      <t xml:space="preserve">      o Green, </t>
    </r>
    <r>
      <rPr>
        <b/>
        <sz val="11"/>
        <rFont val="Calibri"/>
        <family val="2"/>
        <scheme val="minor"/>
      </rPr>
      <t>bold</t>
    </r>
    <r>
      <rPr>
        <sz val="11"/>
        <rFont val="Calibri"/>
        <family val="2"/>
        <scheme val="minor"/>
      </rPr>
      <t xml:space="preserve">, and </t>
    </r>
    <r>
      <rPr>
        <u/>
        <sz val="11"/>
        <rFont val="Calibri"/>
        <family val="2"/>
        <scheme val="minor"/>
      </rPr>
      <t>underlined</t>
    </r>
    <r>
      <rPr>
        <sz val="11"/>
        <rFont val="Calibri"/>
        <family val="2"/>
        <scheme val="minor"/>
      </rPr>
      <t xml:space="preserve"> cells represent user input cells. These cells are available for input from the user.</t>
    </r>
  </si>
  <si>
    <r>
      <t xml:space="preserve">      o Blue and </t>
    </r>
    <r>
      <rPr>
        <i/>
        <sz val="11"/>
        <rFont val="Calibri"/>
        <family val="2"/>
        <scheme val="minor"/>
      </rPr>
      <t xml:space="preserve">italic </t>
    </r>
    <r>
      <rPr>
        <sz val="11"/>
        <rFont val="Calibri"/>
        <family val="2"/>
        <scheme val="minor"/>
      </rPr>
      <t>cells represent cells where the user may want to edit the formula depending on their project details</t>
    </r>
  </si>
  <si>
    <t xml:space="preserve">      o Gray and plain text cells represent a cell that does not require user input, and should not be edited.</t>
  </si>
  <si>
    <t>Model Date</t>
  </si>
  <si>
    <t>&lt;-See USDOT BCA Guidance for discussion of how to determine the appropriate operational period length</t>
  </si>
  <si>
    <t>This is an optional sheet to aid in displaying user volumes, note that it does not automatically link to any other sheet and is provided for convenience and organizational purposes.</t>
  </si>
  <si>
    <t>Annual Inflation Rate Used to Convert Constant Dollars to Year-of-Expenditure Dollars</t>
  </si>
  <si>
    <t>Other Highway Use Externalities</t>
  </si>
  <si>
    <t>Undiscounted Total</t>
  </si>
  <si>
    <t>Table A-1b: Value of Reduced Fatal, Injury, and PDO Crashes</t>
  </si>
  <si>
    <t>To manually calculate the residual value, please enter your estimated value in the blue italicized cell below in lieu of the automatic calculation</t>
  </si>
  <si>
    <r>
      <t>Emission Costs</t>
    </r>
    <r>
      <rPr>
        <vertAlign val="superscript"/>
        <sz val="11"/>
        <color theme="0"/>
        <rFont val="Times New Roman"/>
        <family val="1"/>
      </rPr>
      <t>2</t>
    </r>
  </si>
  <si>
    <t>2)  Emissions are based on the current diesel-electric locomotive fleet average, and thus the emission values above should not be applied in cases where new locomotives are being acquired or in cases of electrified rail. The monetization applies the 2035-year emission value to approximate increasing emission damage costs over time.</t>
  </si>
  <si>
    <t>1)  Includes fuel cost, depreciation, and labor cost.</t>
  </si>
  <si>
    <t>2)   Emission rates are based on estimates from EPA’s MOVES Model. The monetization applies the 2035-year emission value to approximate increasing emission damage costs over time.</t>
  </si>
  <si>
    <r>
      <t>Emission Cost</t>
    </r>
    <r>
      <rPr>
        <vertAlign val="superscript"/>
        <sz val="11"/>
        <color theme="0"/>
        <rFont val="Times New Roman"/>
        <family val="1"/>
      </rPr>
      <t>2</t>
    </r>
  </si>
  <si>
    <t>Emissions</t>
  </si>
  <si>
    <t>No Build Emission Costs ($)</t>
  </si>
  <si>
    <t>Build Emission Costs ($)</t>
  </si>
  <si>
    <t>Emission Reduction</t>
  </si>
  <si>
    <t>Monetized Value (2024 $)</t>
  </si>
  <si>
    <t>1)  Values for personal travel based on local travel values as described in USDOT’s Value of Travel Time guidance. Where applicants also have specific information on the mix of local versus long-distance travel (i.e., trips over 50 miles in length) on a facility, then the local travel values of time may be blended with the long-distance personal travel value of $28.20 per hour.</t>
  </si>
  <si>
    <t>3)  Note that business travel does not include commuting travel, which should be valued at the personal travel rate. Travel on high-speed rail service that would be competitive with air travel should be valued at $53.50 per hour for personal travel and $86.00 for business travel.</t>
  </si>
  <si>
    <t>(2024 $ per person-hour)</t>
  </si>
  <si>
    <t>Recommended Value per Mile (2024 $)</t>
  </si>
  <si>
    <t>Recommended Value per Hour (2024 $)</t>
  </si>
  <si>
    <t>Multiplier to Adjust to Real 2024 $</t>
  </si>
  <si>
    <r>
      <t>Recommended Value per Person-Mile Walked (2024 $)</t>
    </r>
    <r>
      <rPr>
        <vertAlign val="superscript"/>
        <sz val="11"/>
        <color theme="0"/>
        <rFont val="Times New Roman"/>
        <family val="1"/>
      </rPr>
      <t>1</t>
    </r>
  </si>
  <si>
    <r>
      <t>Recommended Value per Use (2024 $)</t>
    </r>
    <r>
      <rPr>
        <vertAlign val="superscript"/>
        <sz val="11"/>
        <color theme="0"/>
        <rFont val="Times New Roman"/>
        <family val="1"/>
      </rPr>
      <t>1</t>
    </r>
  </si>
  <si>
    <r>
      <t>Recommended Value per Cycling Mile (2024 $)</t>
    </r>
    <r>
      <rPr>
        <vertAlign val="superscript"/>
        <sz val="11"/>
        <color theme="0"/>
        <rFont val="Times New Roman"/>
        <family val="1"/>
      </rPr>
      <t>1</t>
    </r>
  </si>
  <si>
    <t>Recommended Value per User Trip (2024 $)</t>
  </si>
  <si>
    <r>
      <t>Boarding Quality Benefit (Per Boarding) (2024 $)</t>
    </r>
    <r>
      <rPr>
        <vertAlign val="superscript"/>
        <sz val="11"/>
        <color theme="0"/>
        <rFont val="Calibri"/>
        <family val="2"/>
        <scheme val="minor"/>
      </rPr>
      <t>1</t>
    </r>
  </si>
  <si>
    <r>
      <t>Vehicle Ride Quality Benefit (Per Passenger Hour) (2024 $)</t>
    </r>
    <r>
      <rPr>
        <vertAlign val="superscript"/>
        <sz val="11"/>
        <color theme="0"/>
        <rFont val="Calibri"/>
        <family val="2"/>
        <scheme val="minor"/>
      </rPr>
      <t>1</t>
    </r>
  </si>
  <si>
    <r>
      <t>Recommended Value per Induced Trip (2024 $)</t>
    </r>
    <r>
      <rPr>
        <vertAlign val="superscript"/>
        <sz val="11"/>
        <color theme="0"/>
        <rFont val="Calibri"/>
        <family val="2"/>
        <scheme val="minor"/>
      </rPr>
      <t>4</t>
    </r>
  </si>
  <si>
    <r>
      <t>Recommended Value of Cost per Vehicle Mile Traveled (2024 $)</t>
    </r>
    <r>
      <rPr>
        <vertAlign val="superscript"/>
        <sz val="11"/>
        <color theme="0"/>
        <rFont val="Times New Roman"/>
        <family val="1"/>
      </rPr>
      <t>1</t>
    </r>
  </si>
  <si>
    <t>1)   Congestion costs updated from the 1997 Highway Cost Allocation Study to reflect increased traffic volumes, changes in vehicle occupancy, and increases in the value of time per person-hour since that time. Both congestion and noise costs are also adjusted from 1994 dollars to 2024 dollars using the GDP deflator.</t>
  </si>
  <si>
    <t>Previously Incurred Costs (in 2024$)</t>
  </si>
  <si>
    <t xml:space="preserve">All values entered into input cells in this sheet should be entered as undiscounted 2024 dollar values. The template will automatically apply discounting to all costs and benefits for you. </t>
  </si>
  <si>
    <t>Hourly Value (2024 $)</t>
  </si>
  <si>
    <t xml:space="preserve">Unique to this sheet, applicants may either input monetized emissions in 2024 dollars OR enter the direct emission amounts in the table below, in which case they must be entered in the form of METRIC TONS. A metric ton is equal to 1.1023 short tons. </t>
  </si>
  <si>
    <t>Recommended Value per Induced Trip (2024 $)</t>
  </si>
  <si>
    <t>Capital Cost (2024 $)</t>
  </si>
  <si>
    <t>Cost in Constant Dollars (2024 $)</t>
  </si>
  <si>
    <t>BCR:</t>
  </si>
  <si>
    <t>N/A</t>
  </si>
  <si>
    <t>Total expenditure ($USD)</t>
  </si>
  <si>
    <t>2031 expenditure ($USD)</t>
  </si>
  <si>
    <t>2030 expenditure ($USD)</t>
  </si>
  <si>
    <t>&lt;--Project to be completed 3 years post-construction start</t>
  </si>
  <si>
    <t>Construction to be completed (year)</t>
  </si>
  <si>
    <t>Construction to begin (year)</t>
  </si>
  <si>
    <t>Physical Details</t>
  </si>
  <si>
    <t>Base Data</t>
  </si>
  <si>
    <t>20 year growth rate: cyclist volume (%)</t>
  </si>
  <si>
    <t>20 year growth rate: pedestrian volume (%)</t>
  </si>
  <si>
    <t>20 year growth rate: vehicle volume (%)</t>
  </si>
  <si>
    <t>One-time change at project completion: cyclist volume (%)</t>
  </si>
  <si>
    <t>&lt;--Assumes one time growth in pedestrian foot traffic due to project opening</t>
  </si>
  <si>
    <t>One-time change at project completion: pedestrian volume (%)</t>
  </si>
  <si>
    <t>One-time change at project completion: vehicle volume (%)</t>
  </si>
  <si>
    <t>Commentary:</t>
  </si>
  <si>
    <t>Growth Rates</t>
  </si>
  <si>
    <t>Funding Source by Project Component in Dollars</t>
  </si>
  <si>
    <t>Funding Source</t>
  </si>
  <si>
    <r>
      <rPr>
        <b/>
        <sz val="10"/>
        <color theme="1"/>
        <rFont val="Calibri"/>
        <family val="2"/>
        <scheme val="minor"/>
      </rPr>
      <t>Focus Area 1</t>
    </r>
    <r>
      <rPr>
        <sz val="10"/>
        <color theme="1"/>
        <rFont val="Calibri"/>
        <family val="2"/>
        <scheme val="minor"/>
      </rPr>
      <t>:                             North Main Street Corridor from State Street
to Chamberlain Street</t>
    </r>
  </si>
  <si>
    <r>
      <rPr>
        <b/>
        <sz val="10"/>
        <color theme="1"/>
        <rFont val="Calibri"/>
        <family val="2"/>
        <scheme val="minor"/>
      </rPr>
      <t>Focus Area 2</t>
    </r>
    <r>
      <rPr>
        <sz val="10"/>
        <color theme="1"/>
        <rFont val="Calibri"/>
        <family val="2"/>
        <scheme val="minor"/>
      </rPr>
      <t>:                    Center Street Corridor from North Main Street
to the end of Center Street</t>
    </r>
  </si>
  <si>
    <r>
      <rPr>
        <b/>
        <sz val="10"/>
        <color theme="1"/>
        <rFont val="Calibri"/>
        <family val="2"/>
        <scheme val="minor"/>
      </rPr>
      <t>Focus Area 3</t>
    </r>
    <r>
      <rPr>
        <sz val="10"/>
        <color theme="1"/>
        <rFont val="Calibri"/>
        <family val="2"/>
        <scheme val="minor"/>
      </rPr>
      <t>:                        Wilson Street Corridor from the Joshua Lawrence Chamberlain Bridge to State Street</t>
    </r>
  </si>
  <si>
    <t>Construction Engineering</t>
  </si>
  <si>
    <t>Total Funding</t>
  </si>
  <si>
    <t>BUILD Funds:</t>
  </si>
  <si>
    <t>Other Federal Funds:</t>
  </si>
  <si>
    <t>Non-Federal Funds:</t>
  </si>
  <si>
    <t>Total Project Cost:</t>
  </si>
  <si>
    <t>Cost Classification by Funding Source in Dollars</t>
  </si>
  <si>
    <t>Cost Classification</t>
  </si>
  <si>
    <t>BUILD Funds</t>
  </si>
  <si>
    <t>Other Federal Funds</t>
  </si>
  <si>
    <t>Non-Federal Funds</t>
  </si>
  <si>
    <t>Total Project Cost</t>
  </si>
  <si>
    <t>Preliminary Engineering:</t>
  </si>
  <si>
    <t>Right-Of-Way</t>
  </si>
  <si>
    <t>Environmental:</t>
  </si>
  <si>
    <t>Construction:</t>
  </si>
  <si>
    <t>Construction Engineering:</t>
  </si>
  <si>
    <t>Contingency (30%):</t>
  </si>
  <si>
    <t>Total Funding:</t>
  </si>
  <si>
    <t>Funding Source Type</t>
  </si>
  <si>
    <t>Type (e.g., grant, loan, bond, etc.)</t>
  </si>
  <si>
    <t>Source</t>
  </si>
  <si>
    <t>None</t>
  </si>
  <si>
    <t>Non-Federal Funds (MaineDOT):</t>
  </si>
  <si>
    <t>State Budget</t>
  </si>
  <si>
    <t>state taxes, gas tax, etc.</t>
  </si>
  <si>
    <t>Non-Federal Funds (Brewer):</t>
  </si>
  <si>
    <t>General Funds</t>
  </si>
  <si>
    <t>property taxes</t>
  </si>
  <si>
    <t>Project Cost by Census Tract</t>
  </si>
  <si>
    <t>2020 Census Tract(s)</t>
  </si>
  <si>
    <t>Project Cost per Census Tract</t>
  </si>
  <si>
    <t>23019004100 (41)</t>
  </si>
  <si>
    <t>23019004200 (42)</t>
  </si>
  <si>
    <t>23019004300 (43)</t>
  </si>
  <si>
    <t>Project Cost by Urban and Rural Areas</t>
  </si>
  <si>
    <t>Urban/Rural</t>
  </si>
  <si>
    <t>Project Cost</t>
  </si>
  <si>
    <t>Urban: (2020 Census data urban area with pop greater than 200,000)</t>
  </si>
  <si>
    <t>Rural: (located outside of an Urban area)</t>
  </si>
  <si>
    <t>One-time change at project completion: truck volume (%)</t>
  </si>
  <si>
    <t>Bicycle</t>
  </si>
  <si>
    <t>Focus Area</t>
  </si>
  <si>
    <t>MDOT ID</t>
  </si>
  <si>
    <t>Crash Date</t>
  </si>
  <si>
    <t>Town Name</t>
  </si>
  <si>
    <t>Day of Week</t>
  </si>
  <si>
    <t>Time of Crash</t>
  </si>
  <si>
    <t>Contributing Circumstance Road 1</t>
  </si>
  <si>
    <t>Light Condition</t>
  </si>
  <si>
    <t>Type of Crash</t>
  </si>
  <si>
    <t>Type of Location</t>
  </si>
  <si>
    <t>Road Surface Condition</t>
  </si>
  <si>
    <t>Weather Condition</t>
  </si>
  <si>
    <t>Traffic Control Device Description</t>
  </si>
  <si>
    <t>Driver Action 1 Unit 1 Description</t>
  </si>
  <si>
    <t>Driver Action 2 Unit 1 Description</t>
  </si>
  <si>
    <t>Driver Action 1 Unit 2 Description</t>
  </si>
  <si>
    <t>Driver Action 2 Unit 2 Description</t>
  </si>
  <si>
    <t>Node</t>
  </si>
  <si>
    <t>Primary Route Number</t>
  </si>
  <si>
    <t>Primary Route Name</t>
  </si>
  <si>
    <t>Primary Route Mile Point</t>
  </si>
  <si>
    <t>Corridor Priority</t>
  </si>
  <si>
    <t>Factored AADT</t>
  </si>
  <si>
    <t>Speed Limit</t>
  </si>
  <si>
    <t>Bicycle Yes/No</t>
  </si>
  <si>
    <t>Pedestrian Yes/No</t>
  </si>
  <si>
    <t>FARS Yes/No</t>
  </si>
  <si>
    <t>Motorcycle Yes/No</t>
  </si>
  <si>
    <t>School Bus Related</t>
  </si>
  <si>
    <t>In or Near Work Zone</t>
  </si>
  <si>
    <t>Unit Count</t>
  </si>
  <si>
    <t>Person Count</t>
  </si>
  <si>
    <t>Number of Injuries</t>
  </si>
  <si>
    <t>K - Fatalities Count</t>
  </si>
  <si>
    <t>A - Suspected Serious Injury Count</t>
  </si>
  <si>
    <t>B - Suspected Minor Injuries Count</t>
  </si>
  <si>
    <t>C - Possible Injuries Count</t>
  </si>
  <si>
    <t>O/PD/PDO - No Apparent Injury Count</t>
  </si>
  <si>
    <t>Injury Level</t>
  </si>
  <si>
    <t>Federal Urban Group Description</t>
  </si>
  <si>
    <t>Accident Hour</t>
  </si>
  <si>
    <t>Traffic Control Device</t>
  </si>
  <si>
    <t>Speed Limit Source</t>
  </si>
  <si>
    <t>Day of Week Code</t>
  </si>
  <si>
    <t>County Name</t>
  </si>
  <si>
    <t>Crash ID</t>
  </si>
  <si>
    <t>Reporting Agency Name</t>
  </si>
  <si>
    <t>Report Number</t>
  </si>
  <si>
    <t>Latitude</t>
  </si>
  <si>
    <t>Longitude</t>
  </si>
  <si>
    <t>Accident Month Number</t>
  </si>
  <si>
    <t>Accident Month Name</t>
  </si>
  <si>
    <t>Towncode</t>
  </si>
  <si>
    <t>Element ID</t>
  </si>
  <si>
    <t>MDOT Region Code</t>
  </si>
  <si>
    <t>MDOT Region Name</t>
  </si>
  <si>
    <t>State Urban Rural</t>
  </si>
  <si>
    <t>State Urban Rural Desc</t>
  </si>
  <si>
    <t>Element/Node</t>
  </si>
  <si>
    <t>objectid</t>
  </si>
  <si>
    <t>Offset</t>
  </si>
  <si>
    <t>Focus Area 1</t>
  </si>
  <si>
    <t>2023-21488</t>
  </si>
  <si>
    <t>Brewer</t>
  </si>
  <si>
    <t xml:space="preserve">Tuesday  </t>
  </si>
  <si>
    <t>09:58:00</t>
  </si>
  <si>
    <t>Daylight</t>
  </si>
  <si>
    <t>Intersection Movement</t>
  </si>
  <si>
    <t>Four Leg Intersection</t>
  </si>
  <si>
    <t>Dry</t>
  </si>
  <si>
    <t>Clear</t>
  </si>
  <si>
    <t>Yes</t>
  </si>
  <si>
    <t>No Contributing Action</t>
  </si>
  <si>
    <t>0009B</t>
  </si>
  <si>
    <t>ST RTE 9B</t>
  </si>
  <si>
    <t>N</t>
  </si>
  <si>
    <t>No</t>
  </si>
  <si>
    <t>PD</t>
  </si>
  <si>
    <t>BACTS</t>
  </si>
  <si>
    <t>Traffic Signals (Stop &amp; Go)</t>
  </si>
  <si>
    <t>Unknown</t>
  </si>
  <si>
    <t>Penobscot</t>
  </si>
  <si>
    <t>BREWER POLICE DEPARTMENT</t>
  </si>
  <si>
    <t>23-057199</t>
  </si>
  <si>
    <t>July</t>
  </si>
  <si>
    <t>19050</t>
  </si>
  <si>
    <t>4 - Eastern Region</t>
  </si>
  <si>
    <t>2</t>
  </si>
  <si>
    <t>Urban</t>
  </si>
  <si>
    <t>NODE</t>
  </si>
  <si>
    <t>2026-1541</t>
  </si>
  <si>
    <t xml:space="preserve">Friday   </t>
  </si>
  <si>
    <t>16:02:00</t>
  </si>
  <si>
    <t>Dusk</t>
  </si>
  <si>
    <t>Rear End / Sideswipe</t>
  </si>
  <si>
    <t>Followed Too Closely</t>
  </si>
  <si>
    <t>2026-01541</t>
  </si>
  <si>
    <t>26-003455</t>
  </si>
  <si>
    <t>January</t>
  </si>
  <si>
    <t>2018-3379</t>
  </si>
  <si>
    <t>Thursday</t>
  </si>
  <si>
    <t>15:20:00</t>
  </si>
  <si>
    <t>Ran Red Light</t>
  </si>
  <si>
    <t>C</t>
  </si>
  <si>
    <t>2018-03379</t>
  </si>
  <si>
    <t>18-006237</t>
  </si>
  <si>
    <t>2022-4179</t>
  </si>
  <si>
    <t>Monday</t>
  </si>
  <si>
    <t>14:12:00</t>
  </si>
  <si>
    <t>Three Leg Intersection</t>
  </si>
  <si>
    <t>Wet</t>
  </si>
  <si>
    <t>Yield Sign</t>
  </si>
  <si>
    <t>2022-04179</t>
  </si>
  <si>
    <t>22-007620</t>
  </si>
  <si>
    <t>2023-36006</t>
  </si>
  <si>
    <t>17:11:00</t>
  </si>
  <si>
    <t>Dark - Lighted</t>
  </si>
  <si>
    <t>23-093981</t>
  </si>
  <si>
    <t>December</t>
  </si>
  <si>
    <t>2024-1654</t>
  </si>
  <si>
    <t xml:space="preserve">Monday   </t>
  </si>
  <si>
    <t>17:56:00</t>
  </si>
  <si>
    <t>2024-01654</t>
  </si>
  <si>
    <t>24-001853</t>
  </si>
  <si>
    <t>2018-22023</t>
  </si>
  <si>
    <t>Tuesday</t>
  </si>
  <si>
    <t>11:14:00</t>
  </si>
  <si>
    <t>18-044581</t>
  </si>
  <si>
    <t>June</t>
  </si>
  <si>
    <t>2018-30175</t>
  </si>
  <si>
    <t>12:47:00</t>
  </si>
  <si>
    <t>18-081504</t>
  </si>
  <si>
    <t>October</t>
  </si>
  <si>
    <t>Friday</t>
  </si>
  <si>
    <t>14:15:00</t>
  </si>
  <si>
    <t>November</t>
  </si>
  <si>
    <t>Saturday</t>
  </si>
  <si>
    <t>Failed to Yield Right-of-Way</t>
  </si>
  <si>
    <t>2020-27383</t>
  </si>
  <si>
    <t>13:42:00</t>
  </si>
  <si>
    <t>Straight Road</t>
  </si>
  <si>
    <t>Improper Passing</t>
  </si>
  <si>
    <t>Posted</t>
  </si>
  <si>
    <t>20-086796</t>
  </si>
  <si>
    <t>ELEMENT</t>
  </si>
  <si>
    <t>2023-3634</t>
  </si>
  <si>
    <t>13:30:00</t>
  </si>
  <si>
    <t>Cloudy</t>
  </si>
  <si>
    <t>Other Contributing Action</t>
  </si>
  <si>
    <t>2023-03634</t>
  </si>
  <si>
    <t>23-002763</t>
  </si>
  <si>
    <t>2024-2084</t>
  </si>
  <si>
    <t xml:space="preserve">Saturday </t>
  </si>
  <si>
    <t>19:37:00</t>
  </si>
  <si>
    <t>Dark - Not Lighted</t>
  </si>
  <si>
    <t>2024-02084</t>
  </si>
  <si>
    <t>24-004663</t>
  </si>
  <si>
    <t>2024-27979</t>
  </si>
  <si>
    <t>Wednesday</t>
  </si>
  <si>
    <t>16:45:00</t>
  </si>
  <si>
    <t>Driveways</t>
  </si>
  <si>
    <t>24-076725</t>
  </si>
  <si>
    <t>2019-75488</t>
  </si>
  <si>
    <t>12:34:00</t>
  </si>
  <si>
    <t>19-098137</t>
  </si>
  <si>
    <t>2019-75109</t>
  </si>
  <si>
    <t>16:30:00</t>
  </si>
  <si>
    <t>19-098704</t>
  </si>
  <si>
    <t>2022-17706</t>
  </si>
  <si>
    <t>17:58:00</t>
  </si>
  <si>
    <t>Operated Motor Vehicle in Erratic, Reckless, Careless, Negligent or Aggressive Manner</t>
  </si>
  <si>
    <t>22-044480</t>
  </si>
  <si>
    <t>2024-2083</t>
  </si>
  <si>
    <t>16:53:00</t>
  </si>
  <si>
    <t>Snow</t>
  </si>
  <si>
    <t>2024-02083</t>
  </si>
  <si>
    <t>24-003805</t>
  </si>
  <si>
    <t>2020-13483</t>
  </si>
  <si>
    <t>Sunday</t>
  </si>
  <si>
    <t>15:01:00</t>
  </si>
  <si>
    <t>20-040034</t>
  </si>
  <si>
    <t>May</t>
  </si>
  <si>
    <t>2024-25999</t>
  </si>
  <si>
    <t>10:53:00</t>
  </si>
  <si>
    <t>24-070605</t>
  </si>
  <si>
    <t>September</t>
  </si>
  <si>
    <t>2024-9176</t>
  </si>
  <si>
    <t>15:47:00</t>
  </si>
  <si>
    <t>2024-09176</t>
  </si>
  <si>
    <t>24-023025</t>
  </si>
  <si>
    <t>April</t>
  </si>
  <si>
    <t>2021-11771</t>
  </si>
  <si>
    <t>11:10:00</t>
  </si>
  <si>
    <t>Failed to Keep in Proper Lane</t>
  </si>
  <si>
    <t>21-034042</t>
  </si>
  <si>
    <t>2019-50942</t>
  </si>
  <si>
    <t>16:09:00</t>
  </si>
  <si>
    <t>Swerved or Avoided Due to Wind, Slippery Surface, Motor Vehicle, Object, Non-Motorist in Roadway</t>
  </si>
  <si>
    <t>19-032141</t>
  </si>
  <si>
    <t>2019-51191</t>
  </si>
  <si>
    <t>09:45:00</t>
  </si>
  <si>
    <t>19-032357</t>
  </si>
  <si>
    <t>2023-9739</t>
  </si>
  <si>
    <t>23:30:00</t>
  </si>
  <si>
    <t>2023-09739</t>
  </si>
  <si>
    <t>23-020616</t>
  </si>
  <si>
    <t>March</t>
  </si>
  <si>
    <t>2025-2722</t>
  </si>
  <si>
    <t>13:00:00</t>
  </si>
  <si>
    <t>2025-02722</t>
  </si>
  <si>
    <t>25-003147</t>
  </si>
  <si>
    <t>2022-19034</t>
  </si>
  <si>
    <t>Shoulders (None, Low, Soft, High)</t>
  </si>
  <si>
    <t>Went Off Road</t>
  </si>
  <si>
    <t>Improper Turn</t>
  </si>
  <si>
    <t>22-049246</t>
  </si>
  <si>
    <t>2023-15384</t>
  </si>
  <si>
    <t>17:45:00</t>
  </si>
  <si>
    <t>23-041071</t>
  </si>
  <si>
    <t>2020-9309</t>
  </si>
  <si>
    <t>10:20:00</t>
  </si>
  <si>
    <t>2020-09309</t>
  </si>
  <si>
    <t>20-019457</t>
  </si>
  <si>
    <t>2020-8363</t>
  </si>
  <si>
    <t>16:50:00</t>
  </si>
  <si>
    <t>2020-08363</t>
  </si>
  <si>
    <t>20-019577</t>
  </si>
  <si>
    <t>2019-58546</t>
  </si>
  <si>
    <t>16:33:00</t>
  </si>
  <si>
    <t>Other</t>
  </si>
  <si>
    <t>Y</t>
  </si>
  <si>
    <t>19-054511</t>
  </si>
  <si>
    <t>2019-54896</t>
  </si>
  <si>
    <t>11:25:00</t>
  </si>
  <si>
    <t>19-046622</t>
  </si>
  <si>
    <t>2020-31012</t>
  </si>
  <si>
    <t>17:30:00</t>
  </si>
  <si>
    <t>Ran Off Roadway</t>
  </si>
  <si>
    <t>20-094415</t>
  </si>
  <si>
    <t>2026-2710</t>
  </si>
  <si>
    <t>14:28:00</t>
  </si>
  <si>
    <t>2026-02710</t>
  </si>
  <si>
    <t>26-005309</t>
  </si>
  <si>
    <t>2025-39344</t>
  </si>
  <si>
    <t>19:39:00</t>
  </si>
  <si>
    <t>Ice/Frost</t>
  </si>
  <si>
    <t>25-089912</t>
  </si>
  <si>
    <t>2019-62880</t>
  </si>
  <si>
    <t>17:53:00</t>
  </si>
  <si>
    <t>Rain</t>
  </si>
  <si>
    <t>19-067665</t>
  </si>
  <si>
    <t>August</t>
  </si>
  <si>
    <t>2018-6382</t>
  </si>
  <si>
    <t>14:33:00</t>
  </si>
  <si>
    <t>3201602</t>
  </si>
  <si>
    <t>RD INV 3201602</t>
  </si>
  <si>
    <t>Unposted</t>
  </si>
  <si>
    <t>2018-06382</t>
  </si>
  <si>
    <t>18-011431</t>
  </si>
  <si>
    <t>February</t>
  </si>
  <si>
    <t>2022-36295</t>
  </si>
  <si>
    <t>14:11:00</t>
  </si>
  <si>
    <t>22-090555</t>
  </si>
  <si>
    <t>2023-3655</t>
  </si>
  <si>
    <t>Disregarded Other Road Markings</t>
  </si>
  <si>
    <t>2023-03655</t>
  </si>
  <si>
    <t>23-002983</t>
  </si>
  <si>
    <t>2023-12696</t>
  </si>
  <si>
    <t>18:36:00</t>
  </si>
  <si>
    <t>B</t>
  </si>
  <si>
    <t>23-031922</t>
  </si>
  <si>
    <t>2019-68535</t>
  </si>
  <si>
    <t>13:41:00</t>
  </si>
  <si>
    <t>19-086044</t>
  </si>
  <si>
    <t>2020-22415</t>
  </si>
  <si>
    <t>10:25:00</t>
  </si>
  <si>
    <t>20-071594</t>
  </si>
  <si>
    <t>2020-24575</t>
  </si>
  <si>
    <t>10:40:00</t>
  </si>
  <si>
    <t>20-078118</t>
  </si>
  <si>
    <t>2019-1772</t>
  </si>
  <si>
    <t>11:55:00</t>
  </si>
  <si>
    <t>2019-01772</t>
  </si>
  <si>
    <t>19-003214</t>
  </si>
  <si>
    <t>2022-20764</t>
  </si>
  <si>
    <t>17:48:00</t>
  </si>
  <si>
    <t>22-054243</t>
  </si>
  <si>
    <t>2024-22883</t>
  </si>
  <si>
    <t>09:30:00</t>
  </si>
  <si>
    <t>24-060522</t>
  </si>
  <si>
    <t>2020-6972</t>
  </si>
  <si>
    <t>10:55:00</t>
  </si>
  <si>
    <t>2020-06972</t>
  </si>
  <si>
    <t>20-014596</t>
  </si>
  <si>
    <t>2023-12490</t>
  </si>
  <si>
    <t>14:40:00</t>
  </si>
  <si>
    <t>23-030224</t>
  </si>
  <si>
    <t>08:41:00</t>
  </si>
  <si>
    <t>2025-25624</t>
  </si>
  <si>
    <t xml:space="preserve">Sunday   </t>
  </si>
  <si>
    <t>17:51:00</t>
  </si>
  <si>
    <t>25-065447</t>
  </si>
  <si>
    <t>2025-532</t>
  </si>
  <si>
    <t>17:29:00</t>
  </si>
  <si>
    <t>2025-00532</t>
  </si>
  <si>
    <t>24-097225</t>
  </si>
  <si>
    <t>2018-840</t>
  </si>
  <si>
    <t>10:05:00</t>
  </si>
  <si>
    <t>Road Surface Condition (Wet, Icy, Snow, Slush, etc.)</t>
  </si>
  <si>
    <t>2018-00840</t>
  </si>
  <si>
    <t>18-001817</t>
  </si>
  <si>
    <t>2020-9311</t>
  </si>
  <si>
    <t>03:30:00</t>
  </si>
  <si>
    <t>Drove Too Fast For Conditions</t>
  </si>
  <si>
    <t>2020-09311</t>
  </si>
  <si>
    <t>20-022573</t>
  </si>
  <si>
    <t>2023-7267</t>
  </si>
  <si>
    <t>06:55:00</t>
  </si>
  <si>
    <t>2023-07267</t>
  </si>
  <si>
    <t>23-015832</t>
  </si>
  <si>
    <t>2018-27244</t>
  </si>
  <si>
    <t>18:00:00</t>
  </si>
  <si>
    <t>3201374</t>
  </si>
  <si>
    <t>RD INV 3201374</t>
  </si>
  <si>
    <t>18-077795</t>
  </si>
  <si>
    <t>2019-44440</t>
  </si>
  <si>
    <t>07:25:00</t>
  </si>
  <si>
    <t>19-016155</t>
  </si>
  <si>
    <t>2020-20898</t>
  </si>
  <si>
    <t>08:05:00</t>
  </si>
  <si>
    <t>20-066465</t>
  </si>
  <si>
    <t>2020-20451</t>
  </si>
  <si>
    <t>17:25:00</t>
  </si>
  <si>
    <t>20-066080</t>
  </si>
  <si>
    <t>2022-29705</t>
  </si>
  <si>
    <t>16:21:00</t>
  </si>
  <si>
    <t>22-075857</t>
  </si>
  <si>
    <t>2022-28130</t>
  </si>
  <si>
    <t>14:19:00</t>
  </si>
  <si>
    <t>22-071344</t>
  </si>
  <si>
    <t>2024-3246</t>
  </si>
  <si>
    <t>2024-03246</t>
  </si>
  <si>
    <t>PENOBSCOT COUNTY SHERIFFS DEPT</t>
  </si>
  <si>
    <t>24-006257</t>
  </si>
  <si>
    <t>2022-30654</t>
  </si>
  <si>
    <t>08:30:00</t>
  </si>
  <si>
    <t>22-079755</t>
  </si>
  <si>
    <t>2021-10294</t>
  </si>
  <si>
    <t>11:45:00</t>
  </si>
  <si>
    <t>21-027909</t>
  </si>
  <si>
    <t>2020-23301</t>
  </si>
  <si>
    <t>08:45:00</t>
  </si>
  <si>
    <t>20-073558</t>
  </si>
  <si>
    <t>2020-23303</t>
  </si>
  <si>
    <t>Parking Lot</t>
  </si>
  <si>
    <t>20-075443</t>
  </si>
  <si>
    <t>08:14:00</t>
  </si>
  <si>
    <t>2020-30297</t>
  </si>
  <si>
    <t>13:07:00</t>
  </si>
  <si>
    <t>20-089105</t>
  </si>
  <si>
    <t>2023-18641</t>
  </si>
  <si>
    <t>08:10:00</t>
  </si>
  <si>
    <t>23-048703</t>
  </si>
  <si>
    <t>2022-7593</t>
  </si>
  <si>
    <t>20:25:00</t>
  </si>
  <si>
    <t>2022-07593</t>
  </si>
  <si>
    <t>22-003577</t>
  </si>
  <si>
    <t>2021-25637</t>
  </si>
  <si>
    <t>06:30:00</t>
  </si>
  <si>
    <t>21-071311</t>
  </si>
  <si>
    <t>2021-14651</t>
  </si>
  <si>
    <t>19:35:00</t>
  </si>
  <si>
    <t>21-041785</t>
  </si>
  <si>
    <t>2018-36153</t>
  </si>
  <si>
    <t>08:53:00</t>
  </si>
  <si>
    <t>18-093906</t>
  </si>
  <si>
    <t>2020-20897</t>
  </si>
  <si>
    <t>05:02:00</t>
  </si>
  <si>
    <t>Dawn</t>
  </si>
  <si>
    <t>Stop Signs - Other</t>
  </si>
  <si>
    <t>20-066672</t>
  </si>
  <si>
    <t>2020-22292</t>
  </si>
  <si>
    <t>16:18:00</t>
  </si>
  <si>
    <t>20-072273</t>
  </si>
  <si>
    <t>2023-40026</t>
  </si>
  <si>
    <t xml:space="preserve">Thursday </t>
  </si>
  <si>
    <t>04:13:00</t>
  </si>
  <si>
    <t>23-067665</t>
  </si>
  <si>
    <t>2023-24230</t>
  </si>
  <si>
    <t>23-062970</t>
  </si>
  <si>
    <t>2021-1075</t>
  </si>
  <si>
    <t>17:08:00</t>
  </si>
  <si>
    <t>2021-01075</t>
  </si>
  <si>
    <t>21-002972</t>
  </si>
  <si>
    <t>2021-913</t>
  </si>
  <si>
    <t>10:21:00</t>
  </si>
  <si>
    <t>2021-00913</t>
  </si>
  <si>
    <t>21-002366</t>
  </si>
  <si>
    <t>07:38:00</t>
  </si>
  <si>
    <t>2020-184</t>
  </si>
  <si>
    <t>17:20:00</t>
  </si>
  <si>
    <t>2020-00184</t>
  </si>
  <si>
    <t>20-000453</t>
  </si>
  <si>
    <t>2018-24318</t>
  </si>
  <si>
    <t>20:33:00</t>
  </si>
  <si>
    <t>18-068850</t>
  </si>
  <si>
    <t>2018-24387</t>
  </si>
  <si>
    <t>10:52:00</t>
  </si>
  <si>
    <t>18-068011</t>
  </si>
  <si>
    <t>2019-52510</t>
  </si>
  <si>
    <t>17:21:00</t>
  </si>
  <si>
    <t>No Passing Zone</t>
  </si>
  <si>
    <t>19-038836</t>
  </si>
  <si>
    <t>2019-79247</t>
  </si>
  <si>
    <t>13:57:00</t>
  </si>
  <si>
    <t>19-102702</t>
  </si>
  <si>
    <t>2020-60</t>
  </si>
  <si>
    <t>17:35:00</t>
  </si>
  <si>
    <t>2020-00060</t>
  </si>
  <si>
    <t>20-000458</t>
  </si>
  <si>
    <t>2024-3053</t>
  </si>
  <si>
    <t>06:45:00</t>
  </si>
  <si>
    <t>2024-03053</t>
  </si>
  <si>
    <t>24-006917</t>
  </si>
  <si>
    <t>2021-28996</t>
  </si>
  <si>
    <t>08:50:00</t>
  </si>
  <si>
    <t>21-082033</t>
  </si>
  <si>
    <t>2022-11022</t>
  </si>
  <si>
    <t>17:00:00</t>
  </si>
  <si>
    <t>22-024122</t>
  </si>
  <si>
    <t>2018-36151</t>
  </si>
  <si>
    <t>21:21:00</t>
  </si>
  <si>
    <t>Slush</t>
  </si>
  <si>
    <t>18-092712</t>
  </si>
  <si>
    <t>2023-8751</t>
  </si>
  <si>
    <t>15:59:00</t>
  </si>
  <si>
    <t>2023-08751</t>
  </si>
  <si>
    <t>23-018576</t>
  </si>
  <si>
    <t>2024-11891</t>
  </si>
  <si>
    <t>24-031382</t>
  </si>
  <si>
    <t>2024-4212</t>
  </si>
  <si>
    <t>18:49:00</t>
  </si>
  <si>
    <t>2024-04212</t>
  </si>
  <si>
    <t>24-009632</t>
  </si>
  <si>
    <t>2024-3456</t>
  </si>
  <si>
    <t>20:35:00</t>
  </si>
  <si>
    <t>2024-03456</t>
  </si>
  <si>
    <t>24-007901</t>
  </si>
  <si>
    <t>2024-3781</t>
  </si>
  <si>
    <t>10:44:00</t>
  </si>
  <si>
    <t>2024-03781</t>
  </si>
  <si>
    <t>24-007498</t>
  </si>
  <si>
    <t>2024-33468</t>
  </si>
  <si>
    <t>15:13:00</t>
  </si>
  <si>
    <t>24-088466</t>
  </si>
  <si>
    <t>2019-59123</t>
  </si>
  <si>
    <t>16:36:00</t>
  </si>
  <si>
    <t>19-056801</t>
  </si>
  <si>
    <t>2021-12451</t>
  </si>
  <si>
    <t>07:05:00</t>
  </si>
  <si>
    <t>Traffic Signals (Flashing)</t>
  </si>
  <si>
    <t>21-036000</t>
  </si>
  <si>
    <t>2020-28733</t>
  </si>
  <si>
    <t>08:44:00</t>
  </si>
  <si>
    <t>20-089568</t>
  </si>
  <si>
    <t>2020-23302</t>
  </si>
  <si>
    <t>13:17:00</t>
  </si>
  <si>
    <t>20-073952</t>
  </si>
  <si>
    <t>2020-10803</t>
  </si>
  <si>
    <t>20:21:00</t>
  </si>
  <si>
    <t>20-028912</t>
  </si>
  <si>
    <t>2020-12178</t>
  </si>
  <si>
    <t>13:20:00</t>
  </si>
  <si>
    <t>20-035527</t>
  </si>
  <si>
    <t>2019-65449</t>
  </si>
  <si>
    <t>20:40:00</t>
  </si>
  <si>
    <t>19-077753</t>
  </si>
  <si>
    <t>2025-25630</t>
  </si>
  <si>
    <t>10:28:00</t>
  </si>
  <si>
    <t>25-065590</t>
  </si>
  <si>
    <t>07:49:00</t>
  </si>
  <si>
    <t>2020-32182</t>
  </si>
  <si>
    <t>20-095963</t>
  </si>
  <si>
    <t>2024-31935</t>
  </si>
  <si>
    <t>22:54:00</t>
  </si>
  <si>
    <t>24-084644</t>
  </si>
  <si>
    <t>2021-10845</t>
  </si>
  <si>
    <t>09:50:00</t>
  </si>
  <si>
    <t>21-029790</t>
  </si>
  <si>
    <t>16:55:00</t>
  </si>
  <si>
    <t>2025-27833</t>
  </si>
  <si>
    <t>07:27:00</t>
  </si>
  <si>
    <t>25-069893</t>
  </si>
  <si>
    <t>2024-17972</t>
  </si>
  <si>
    <t>16:46:00</t>
  </si>
  <si>
    <t>Disregarded Other Traffic Sign</t>
  </si>
  <si>
    <t>24-048663</t>
  </si>
  <si>
    <t>2024-17973</t>
  </si>
  <si>
    <t>13:47:00</t>
  </si>
  <si>
    <t>24-048614</t>
  </si>
  <si>
    <t>07:34:00</t>
  </si>
  <si>
    <t>2019-60712</t>
  </si>
  <si>
    <t>14:00:00</t>
  </si>
  <si>
    <t>19-062946</t>
  </si>
  <si>
    <t>2021-16838</t>
  </si>
  <si>
    <t>17:23:00</t>
  </si>
  <si>
    <t>21-047455</t>
  </si>
  <si>
    <t>2021-18928</t>
  </si>
  <si>
    <t>12:23:00</t>
  </si>
  <si>
    <t>21-051434</t>
  </si>
  <si>
    <t>2019-54550</t>
  </si>
  <si>
    <t>08:00:00</t>
  </si>
  <si>
    <t>19-042210</t>
  </si>
  <si>
    <t>2024-16621</t>
  </si>
  <si>
    <t>24-043053</t>
  </si>
  <si>
    <t>2019-43546</t>
  </si>
  <si>
    <t>22:18:00</t>
  </si>
  <si>
    <t>19-014071</t>
  </si>
  <si>
    <t>2023-16203</t>
  </si>
  <si>
    <t>14:31:00</t>
  </si>
  <si>
    <t>23-043294</t>
  </si>
  <si>
    <t>2022-8046</t>
  </si>
  <si>
    <t>2022-08046</t>
  </si>
  <si>
    <t>22-016691</t>
  </si>
  <si>
    <t>2018-28719</t>
  </si>
  <si>
    <t>20:36:00</t>
  </si>
  <si>
    <t>18-080525</t>
  </si>
  <si>
    <t>2022-6357</t>
  </si>
  <si>
    <t>2022-06357</t>
  </si>
  <si>
    <t>22-014322</t>
  </si>
  <si>
    <t>2019-52829</t>
  </si>
  <si>
    <t>06:50:00</t>
  </si>
  <si>
    <t>19-040333</t>
  </si>
  <si>
    <t>2019-48803</t>
  </si>
  <si>
    <t>19-026674</t>
  </si>
  <si>
    <t>2019-48498</t>
  </si>
  <si>
    <t>19:19:00</t>
  </si>
  <si>
    <t>19-026247</t>
  </si>
  <si>
    <t>2022-13501</t>
  </si>
  <si>
    <t>12:49:00</t>
  </si>
  <si>
    <t>22-034956</t>
  </si>
  <si>
    <t>2021-30880</t>
  </si>
  <si>
    <t>21-086509</t>
  </si>
  <si>
    <t>Focus Area 2</t>
  </si>
  <si>
    <t>2019-75722</t>
  </si>
  <si>
    <t>1920022</t>
  </si>
  <si>
    <t>RD INV 19 20022</t>
  </si>
  <si>
    <t>19-099196</t>
  </si>
  <si>
    <t>2022-37854</t>
  </si>
  <si>
    <t>15:22:00</t>
  </si>
  <si>
    <t>Over-Correcting/Over-Steering</t>
  </si>
  <si>
    <t>22-093378</t>
  </si>
  <si>
    <t>2019-65329</t>
  </si>
  <si>
    <t>17:50:00</t>
  </si>
  <si>
    <t>009BE</t>
  </si>
  <si>
    <t>ST RTE 9BE</t>
  </si>
  <si>
    <t>19-077405</t>
  </si>
  <si>
    <t>2019-64916</t>
  </si>
  <si>
    <t>14:52:00</t>
  </si>
  <si>
    <t>19-075945</t>
  </si>
  <si>
    <t>2021-1188</t>
  </si>
  <si>
    <t>19:15:00</t>
  </si>
  <si>
    <t>2021-01188</t>
  </si>
  <si>
    <t>21-003518</t>
  </si>
  <si>
    <t>2019-78426</t>
  </si>
  <si>
    <t>11:20:00</t>
  </si>
  <si>
    <t>Ran Stop Sign</t>
  </si>
  <si>
    <t>19-103640</t>
  </si>
  <si>
    <t>2024-30574</t>
  </si>
  <si>
    <t>Improper Backing</t>
  </si>
  <si>
    <t>1920021</t>
  </si>
  <si>
    <t>RD INV 19 20021</t>
  </si>
  <si>
    <t>24-080719</t>
  </si>
  <si>
    <t>2018-22142</t>
  </si>
  <si>
    <t>10:51:00</t>
  </si>
  <si>
    <t>18-058251</t>
  </si>
  <si>
    <t>2019-54549</t>
  </si>
  <si>
    <t>10:00:00</t>
  </si>
  <si>
    <t>19-038695</t>
  </si>
  <si>
    <t>2018-31713</t>
  </si>
  <si>
    <t>17:12:00</t>
  </si>
  <si>
    <t>18-087746</t>
  </si>
  <si>
    <t>2023-16580</t>
  </si>
  <si>
    <t>11:53:00</t>
  </si>
  <si>
    <t>23-043878</t>
  </si>
  <si>
    <t>Focus Area 3</t>
  </si>
  <si>
    <t>15:25:00</t>
  </si>
  <si>
    <t>0001A</t>
  </si>
  <si>
    <t>US 1A</t>
  </si>
  <si>
    <t>001AS</t>
  </si>
  <si>
    <t>US 1AS</t>
  </si>
  <si>
    <t>0015B</t>
  </si>
  <si>
    <t>ST RTE 15B</t>
  </si>
  <si>
    <t>2018-2448</t>
  </si>
  <si>
    <t>13:05:00</t>
  </si>
  <si>
    <t>2018-02448</t>
  </si>
  <si>
    <t>18-004663</t>
  </si>
  <si>
    <t>17:15:00</t>
  </si>
  <si>
    <t>2018-21786</t>
  </si>
  <si>
    <t>15:08:00</t>
  </si>
  <si>
    <t>18-024533</t>
  </si>
  <si>
    <t>2023-36978</t>
  </si>
  <si>
    <t>13:28:00</t>
  </si>
  <si>
    <t>23-095538</t>
  </si>
  <si>
    <t>2018-21973</t>
  </si>
  <si>
    <t>16:06:00</t>
  </si>
  <si>
    <t>18-041783</t>
  </si>
  <si>
    <t>2018-21977</t>
  </si>
  <si>
    <t>12:02:00</t>
  </si>
  <si>
    <t>18-041707</t>
  </si>
  <si>
    <t>2018-22081</t>
  </si>
  <si>
    <t>08:20:00</t>
  </si>
  <si>
    <t>18-051592</t>
  </si>
  <si>
    <t>2021-22757</t>
  </si>
  <si>
    <t>12:20:00</t>
  </si>
  <si>
    <t>21-064485</t>
  </si>
  <si>
    <t>2019-70514</t>
  </si>
  <si>
    <t>18:44:00</t>
  </si>
  <si>
    <t>19-090131</t>
  </si>
  <si>
    <t>2023-36260</t>
  </si>
  <si>
    <t>17:16:00</t>
  </si>
  <si>
    <t>23-093670</t>
  </si>
  <si>
    <t>2023-36264</t>
  </si>
  <si>
    <t>12:48:00</t>
  </si>
  <si>
    <t>23-094985</t>
  </si>
  <si>
    <t>2018-22115</t>
  </si>
  <si>
    <t>11:02:00</t>
  </si>
  <si>
    <t>18-055155</t>
  </si>
  <si>
    <t>2018-22137</t>
  </si>
  <si>
    <t>18:01:00</t>
  </si>
  <si>
    <t>18-057735</t>
  </si>
  <si>
    <t>2024-7775</t>
  </si>
  <si>
    <t>07:07:00</t>
  </si>
  <si>
    <t>2024-07775</t>
  </si>
  <si>
    <t>24-019944</t>
  </si>
  <si>
    <t>16:47:00</t>
  </si>
  <si>
    <t>2022-39235</t>
  </si>
  <si>
    <t>08:03:00</t>
  </si>
  <si>
    <t>22-097231</t>
  </si>
  <si>
    <t>2020-25707</t>
  </si>
  <si>
    <t>20-081977</t>
  </si>
  <si>
    <t>2023-3675</t>
  </si>
  <si>
    <t>07:53:00</t>
  </si>
  <si>
    <t>2023-03675</t>
  </si>
  <si>
    <t>23-004427</t>
  </si>
  <si>
    <t>2018-1968</t>
  </si>
  <si>
    <t>16:15:00</t>
  </si>
  <si>
    <t>2018-01968</t>
  </si>
  <si>
    <t>18-004136</t>
  </si>
  <si>
    <t>2022-4180</t>
  </si>
  <si>
    <t>15:41:00</t>
  </si>
  <si>
    <t>2022-04180</t>
  </si>
  <si>
    <t>22-007640</t>
  </si>
  <si>
    <t>2019-59571</t>
  </si>
  <si>
    <t>06:24:00</t>
  </si>
  <si>
    <t>19-059698</t>
  </si>
  <si>
    <t>2022-20762</t>
  </si>
  <si>
    <t>22-041623</t>
  </si>
  <si>
    <t>2024-25041</t>
  </si>
  <si>
    <t>24-068471</t>
  </si>
  <si>
    <t>2022-13497</t>
  </si>
  <si>
    <t>19:24:00</t>
  </si>
  <si>
    <t>22-034794</t>
  </si>
  <si>
    <t>2018-21885</t>
  </si>
  <si>
    <t>18-032563</t>
  </si>
  <si>
    <t>2018-5494</t>
  </si>
  <si>
    <t>14:22:00</t>
  </si>
  <si>
    <t>2018-05494</t>
  </si>
  <si>
    <t>18-011149</t>
  </si>
  <si>
    <t>14:35:00</t>
  </si>
  <si>
    <t>2019-62636</t>
  </si>
  <si>
    <t>16:08:00</t>
  </si>
  <si>
    <t>19-067635</t>
  </si>
  <si>
    <t>2023-30868</t>
  </si>
  <si>
    <t>16:32:00</t>
  </si>
  <si>
    <t>23-082255</t>
  </si>
  <si>
    <t>Head-on / Sideswipe</t>
  </si>
  <si>
    <t>2019-65968</t>
  </si>
  <si>
    <t>18:20:00</t>
  </si>
  <si>
    <t>19-079276</t>
  </si>
  <si>
    <t>2019-65496</t>
  </si>
  <si>
    <t>18:02:00</t>
  </si>
  <si>
    <t>19-076678</t>
  </si>
  <si>
    <t>2018-21951</t>
  </si>
  <si>
    <t>18-039060</t>
  </si>
  <si>
    <t>2018-6462</t>
  </si>
  <si>
    <t>2018-06462</t>
  </si>
  <si>
    <t>18-012957</t>
  </si>
  <si>
    <t>2024-26335</t>
  </si>
  <si>
    <t>24-070397</t>
  </si>
  <si>
    <t>2018-6993</t>
  </si>
  <si>
    <t>08:07:00</t>
  </si>
  <si>
    <t>2018-06993</t>
  </si>
  <si>
    <t>18-014682</t>
  </si>
  <si>
    <t>2018-8862</t>
  </si>
  <si>
    <t>17:42:00</t>
  </si>
  <si>
    <t>2018-08862</t>
  </si>
  <si>
    <t>18-012998</t>
  </si>
  <si>
    <t>2024-25254</t>
  </si>
  <si>
    <t>24-069082</t>
  </si>
  <si>
    <t>2021-11485</t>
  </si>
  <si>
    <t>12:15:00</t>
  </si>
  <si>
    <t>21-033301</t>
  </si>
  <si>
    <t>2019-1516</t>
  </si>
  <si>
    <t>12:35:00</t>
  </si>
  <si>
    <t>2019-01516</t>
  </si>
  <si>
    <t>19-003451</t>
  </si>
  <si>
    <t>2018-41478</t>
  </si>
  <si>
    <t>11:00:00</t>
  </si>
  <si>
    <t>18-099455</t>
  </si>
  <si>
    <t>2024-9036</t>
  </si>
  <si>
    <t>13:39:00</t>
  </si>
  <si>
    <t>2024-09036</t>
  </si>
  <si>
    <t>24-021940</t>
  </si>
  <si>
    <t>2021-22753</t>
  </si>
  <si>
    <t>21-057752</t>
  </si>
  <si>
    <t>2019-51612</t>
  </si>
  <si>
    <t>19-036400</t>
  </si>
  <si>
    <t>2019-50761</t>
  </si>
  <si>
    <t>18:37:00</t>
  </si>
  <si>
    <t>19-033707</t>
  </si>
  <si>
    <t>2019-48447</t>
  </si>
  <si>
    <t>18:56:00</t>
  </si>
  <si>
    <t>19-026237</t>
  </si>
  <si>
    <t>2019-69114</t>
  </si>
  <si>
    <t>10:23:00</t>
  </si>
  <si>
    <t>19-088377</t>
  </si>
  <si>
    <t>2021-19848</t>
  </si>
  <si>
    <t>11:05:00</t>
  </si>
  <si>
    <t>21-055334</t>
  </si>
  <si>
    <t>2022-6094</t>
  </si>
  <si>
    <t>10:18:00</t>
  </si>
  <si>
    <t>2022-06094</t>
  </si>
  <si>
    <t>22-007340</t>
  </si>
  <si>
    <t>2025-3109</t>
  </si>
  <si>
    <t>2025-03109</t>
  </si>
  <si>
    <t>25-006873</t>
  </si>
  <si>
    <t>2025-7156</t>
  </si>
  <si>
    <t>12:10:00</t>
  </si>
  <si>
    <t>2025-07156</t>
  </si>
  <si>
    <t>25-014989</t>
  </si>
  <si>
    <t>2023-36261</t>
  </si>
  <si>
    <t>23-093677</t>
  </si>
  <si>
    <t>2025-11621</t>
  </si>
  <si>
    <t>15:00:00</t>
  </si>
  <si>
    <t>25-025714</t>
  </si>
  <si>
    <t>2025-8626</t>
  </si>
  <si>
    <t>12:56:00</t>
  </si>
  <si>
    <t>2025-08626</t>
  </si>
  <si>
    <t>25-019685</t>
  </si>
  <si>
    <t>2020-14771</t>
  </si>
  <si>
    <t>10:09:00</t>
  </si>
  <si>
    <t>Wrong Way</t>
  </si>
  <si>
    <t>20-046626</t>
  </si>
  <si>
    <t>2021-9770</t>
  </si>
  <si>
    <t>2021-09770</t>
  </si>
  <si>
    <t>21-027189</t>
  </si>
  <si>
    <t>2020-30298</t>
  </si>
  <si>
    <t>20-092301</t>
  </si>
  <si>
    <t>2025-5672</t>
  </si>
  <si>
    <t>16:48:00</t>
  </si>
  <si>
    <t>2025-05672</t>
  </si>
  <si>
    <t>25-011325</t>
  </si>
  <si>
    <t>2019-58431</t>
  </si>
  <si>
    <t>09:55:00</t>
  </si>
  <si>
    <t>19-054016</t>
  </si>
  <si>
    <t>2026-2919</t>
  </si>
  <si>
    <t>2026-02919</t>
  </si>
  <si>
    <t>26-005914</t>
  </si>
  <si>
    <t>2018-9457</t>
  </si>
  <si>
    <t>11:30:00</t>
  </si>
  <si>
    <t>2018-09457</t>
  </si>
  <si>
    <t>18-019315</t>
  </si>
  <si>
    <t>2023-11207</t>
  </si>
  <si>
    <t>16:10:00</t>
  </si>
  <si>
    <t>23-026587</t>
  </si>
  <si>
    <t>2025-16439</t>
  </si>
  <si>
    <t>09:54:00</t>
  </si>
  <si>
    <t>25-040721</t>
  </si>
  <si>
    <t>2022-7243</t>
  </si>
  <si>
    <t>2022-07243</t>
  </si>
  <si>
    <t>22-015471</t>
  </si>
  <si>
    <t>2018-238</t>
  </si>
  <si>
    <t>2018-00238</t>
  </si>
  <si>
    <t>18-000904</t>
  </si>
  <si>
    <t>2019-46578</t>
  </si>
  <si>
    <t>19-021120</t>
  </si>
  <si>
    <t>2018-9864</t>
  </si>
  <si>
    <t>11:36:00</t>
  </si>
  <si>
    <t>2018-09864</t>
  </si>
  <si>
    <t>18-022199</t>
  </si>
  <si>
    <t>2025-20210</t>
  </si>
  <si>
    <t>12:24:00</t>
  </si>
  <si>
    <t>25-049583</t>
  </si>
  <si>
    <t>2025-22276</t>
  </si>
  <si>
    <t>10:57:00</t>
  </si>
  <si>
    <t>25-055132</t>
  </si>
  <si>
    <t>2019-44564</t>
  </si>
  <si>
    <t>12:40:00</t>
  </si>
  <si>
    <t>Yes, School Bus Directly Involved</t>
  </si>
  <si>
    <t>19-016483</t>
  </si>
  <si>
    <t>2020-18737</t>
  </si>
  <si>
    <t>11:34:00</t>
  </si>
  <si>
    <t>20-059166</t>
  </si>
  <si>
    <t>2025-30796</t>
  </si>
  <si>
    <t>25-076651</t>
  </si>
  <si>
    <t>2025-34885</t>
  </si>
  <si>
    <t>14:55:00</t>
  </si>
  <si>
    <t>25-086002</t>
  </si>
  <si>
    <t>2025-35860</t>
  </si>
  <si>
    <t>25-085636</t>
  </si>
  <si>
    <t>2020-24313</t>
  </si>
  <si>
    <t>10:15:00</t>
  </si>
  <si>
    <t>20-079176</t>
  </si>
  <si>
    <t>2020-23770</t>
  </si>
  <si>
    <t>19:55:00</t>
  </si>
  <si>
    <t>20-076865</t>
  </si>
  <si>
    <t>2024-20228</t>
  </si>
  <si>
    <t>09:02:00</t>
  </si>
  <si>
    <t>24-053369</t>
  </si>
  <si>
    <t>2024-20325</t>
  </si>
  <si>
    <t>24-054550</t>
  </si>
  <si>
    <t>2019-4005</t>
  </si>
  <si>
    <t>2019-04005</t>
  </si>
  <si>
    <t>19-008598</t>
  </si>
  <si>
    <t>2018-23833</t>
  </si>
  <si>
    <t>21:26:00</t>
  </si>
  <si>
    <t>18-066589</t>
  </si>
  <si>
    <t>2024-22241</t>
  </si>
  <si>
    <t>18:45:00</t>
  </si>
  <si>
    <t>24-058454</t>
  </si>
  <si>
    <t>2021-24431</t>
  </si>
  <si>
    <t>17:46:00</t>
  </si>
  <si>
    <t>21-067957</t>
  </si>
  <si>
    <t>2018-22119</t>
  </si>
  <si>
    <t>19:09:00</t>
  </si>
  <si>
    <t>18-055589</t>
  </si>
  <si>
    <t>2025-12165</t>
  </si>
  <si>
    <t>25-029096</t>
  </si>
  <si>
    <t>2020-12175</t>
  </si>
  <si>
    <t>04:49:00</t>
  </si>
  <si>
    <t>Bridges</t>
  </si>
  <si>
    <t>20-034223</t>
  </si>
  <si>
    <t>2025-24274</t>
  </si>
  <si>
    <t>18:48:00</t>
  </si>
  <si>
    <t>25-059059</t>
  </si>
  <si>
    <t>2025-21239</t>
  </si>
  <si>
    <t>09:24:00</t>
  </si>
  <si>
    <t>25-052699</t>
  </si>
  <si>
    <t>2018-1902</t>
  </si>
  <si>
    <t>17:38:00</t>
  </si>
  <si>
    <t>2018-01902</t>
  </si>
  <si>
    <t>18-003634</t>
  </si>
  <si>
    <t>2025-8397</t>
  </si>
  <si>
    <t>15:10:00</t>
  </si>
  <si>
    <t>2025-08397</t>
  </si>
  <si>
    <t>25-018731</t>
  </si>
  <si>
    <t>2025-8787</t>
  </si>
  <si>
    <t>20:18:00</t>
  </si>
  <si>
    <t>2025-08787</t>
  </si>
  <si>
    <t>25-020042</t>
  </si>
  <si>
    <t>2023-26325</t>
  </si>
  <si>
    <t>13:33:00</t>
  </si>
  <si>
    <t>23-070454</t>
  </si>
  <si>
    <t>2022-28297</t>
  </si>
  <si>
    <t>13:24:00</t>
  </si>
  <si>
    <t>22-075485</t>
  </si>
  <si>
    <t>2020-24277</t>
  </si>
  <si>
    <t>13:31:00</t>
  </si>
  <si>
    <t>20-078993</t>
  </si>
  <si>
    <t>2020-5376</t>
  </si>
  <si>
    <t>2020-05376</t>
  </si>
  <si>
    <t>20-013313</t>
  </si>
  <si>
    <t>2025-22591</t>
  </si>
  <si>
    <t>12:05:00</t>
  </si>
  <si>
    <t>25-056247</t>
  </si>
  <si>
    <t>2022-27875</t>
  </si>
  <si>
    <t>22-074169</t>
  </si>
  <si>
    <t>2025-21240</t>
  </si>
  <si>
    <t>14:39:00</t>
  </si>
  <si>
    <t>25-053480</t>
  </si>
  <si>
    <t>2019-48463</t>
  </si>
  <si>
    <t>19:08:00</t>
  </si>
  <si>
    <t>19-026241</t>
  </si>
  <si>
    <t>2022-27705</t>
  </si>
  <si>
    <t>18:11:00</t>
  </si>
  <si>
    <t>22-073542</t>
  </si>
  <si>
    <t>2023-16022</t>
  </si>
  <si>
    <t>13:26:00</t>
  </si>
  <si>
    <t>23-037471</t>
  </si>
  <si>
    <t>2023-29766</t>
  </si>
  <si>
    <t>18:53:00</t>
  </si>
  <si>
    <t>23-080594</t>
  </si>
  <si>
    <t>2023-29623</t>
  </si>
  <si>
    <t>16:07:00</t>
  </si>
  <si>
    <t>23-079609</t>
  </si>
  <si>
    <t>2019-70494</t>
  </si>
  <si>
    <t>00:06:00</t>
  </si>
  <si>
    <t>A</t>
  </si>
  <si>
    <t>BANGOR POLICE DEPARTMENT</t>
  </si>
  <si>
    <t>19-091620</t>
  </si>
  <si>
    <t>2020-16671</t>
  </si>
  <si>
    <t>20-052549</t>
  </si>
  <si>
    <t>2018-36139</t>
  </si>
  <si>
    <t>13:01:00</t>
  </si>
  <si>
    <t>18-092852</t>
  </si>
  <si>
    <t>2020-31143</t>
  </si>
  <si>
    <t>20:30:00</t>
  </si>
  <si>
    <t>Exceeded Posted Speed Limit</t>
  </si>
  <si>
    <t>20-094684</t>
  </si>
  <si>
    <t>2021-6922</t>
  </si>
  <si>
    <t>2021-06922</t>
  </si>
  <si>
    <t>21-017670</t>
  </si>
  <si>
    <t>2021-10305</t>
  </si>
  <si>
    <t>01:33:00</t>
  </si>
  <si>
    <t>21-027817</t>
  </si>
  <si>
    <t>2024-30264</t>
  </si>
  <si>
    <t>24-081855</t>
  </si>
  <si>
    <t>2023-11897</t>
  </si>
  <si>
    <t>18:24:00</t>
  </si>
  <si>
    <t>23-027491</t>
  </si>
  <si>
    <t>2025-26462</t>
  </si>
  <si>
    <t>25-065918</t>
  </si>
  <si>
    <t>2021-1346</t>
  </si>
  <si>
    <t>07:45:00</t>
  </si>
  <si>
    <t>2021-01346</t>
  </si>
  <si>
    <t>21-004249</t>
  </si>
  <si>
    <t>2021-14288</t>
  </si>
  <si>
    <t>21-040979</t>
  </si>
  <si>
    <t>2021-17021</t>
  </si>
  <si>
    <t>21-048657</t>
  </si>
  <si>
    <t>2018-28716</t>
  </si>
  <si>
    <t>18-067440</t>
  </si>
  <si>
    <t>2022-30968</t>
  </si>
  <si>
    <t>22-079342</t>
  </si>
  <si>
    <t>2023-28066</t>
  </si>
  <si>
    <t>18:31:00</t>
  </si>
  <si>
    <t>23-073160</t>
  </si>
  <si>
    <t>2023-26324</t>
  </si>
  <si>
    <t>14:17:00</t>
  </si>
  <si>
    <t>23-070180</t>
  </si>
  <si>
    <t>2018-23832</t>
  </si>
  <si>
    <t>11:43:00</t>
  </si>
  <si>
    <t>18-065555</t>
  </si>
  <si>
    <t>2018-25539</t>
  </si>
  <si>
    <t>13:40:00</t>
  </si>
  <si>
    <t>18-070982</t>
  </si>
  <si>
    <t>2018-27237</t>
  </si>
  <si>
    <t>19:38:00</t>
  </si>
  <si>
    <t>18-056520</t>
  </si>
  <si>
    <t>2021-6151</t>
  </si>
  <si>
    <t>11:58:00</t>
  </si>
  <si>
    <t>2021-06151</t>
  </si>
  <si>
    <t>21-015021</t>
  </si>
  <si>
    <t>2024-14059</t>
  </si>
  <si>
    <t>24-038424</t>
  </si>
  <si>
    <t>2024-23350</t>
  </si>
  <si>
    <t>19:41:00</t>
  </si>
  <si>
    <t>24-061233</t>
  </si>
  <si>
    <t>2022-28491</t>
  </si>
  <si>
    <t>22-074927</t>
  </si>
  <si>
    <t>2023-5565</t>
  </si>
  <si>
    <t>14:18:00</t>
  </si>
  <si>
    <t>2023-05565</t>
  </si>
  <si>
    <t>23-011200</t>
  </si>
  <si>
    <t>2019-67602</t>
  </si>
  <si>
    <t>19-083812</t>
  </si>
  <si>
    <t>2025-20957</t>
  </si>
  <si>
    <t>17:33:00</t>
  </si>
  <si>
    <t>25-051069</t>
  </si>
  <si>
    <t>2021-14679</t>
  </si>
  <si>
    <t>21-039942</t>
  </si>
  <si>
    <t>2022-33202</t>
  </si>
  <si>
    <t>22-085995</t>
  </si>
  <si>
    <t>2018-36150</t>
  </si>
  <si>
    <t>09:52:00</t>
  </si>
  <si>
    <t>18-092566</t>
  </si>
  <si>
    <t>2024-31249</t>
  </si>
  <si>
    <t>17:02:00</t>
  </si>
  <si>
    <t>24-084578</t>
  </si>
  <si>
    <t>2024-11892</t>
  </si>
  <si>
    <t>24-031268</t>
  </si>
  <si>
    <t>2024-2504</t>
  </si>
  <si>
    <t>19:07:00</t>
  </si>
  <si>
    <t>2024-02504</t>
  </si>
  <si>
    <t>24-004652</t>
  </si>
  <si>
    <t>2024-3576</t>
  </si>
  <si>
    <t>22:13:00</t>
  </si>
  <si>
    <t>2024-03576</t>
  </si>
  <si>
    <t>24-007912</t>
  </si>
  <si>
    <t>2024-31619</t>
  </si>
  <si>
    <t>24-085396</t>
  </si>
  <si>
    <t>2020-22291</t>
  </si>
  <si>
    <t>20-072238</t>
  </si>
  <si>
    <t>2024-35896</t>
  </si>
  <si>
    <t>17:06:00</t>
  </si>
  <si>
    <t>24-092690</t>
  </si>
  <si>
    <t>2024-24166</t>
  </si>
  <si>
    <t>15:46:00</t>
  </si>
  <si>
    <t>24-064496</t>
  </si>
  <si>
    <t>2020-11174</t>
  </si>
  <si>
    <t>20-033644</t>
  </si>
  <si>
    <t>2021-35933</t>
  </si>
  <si>
    <t>01:05:00</t>
  </si>
  <si>
    <t>21-096325</t>
  </si>
  <si>
    <t>2021-34738</t>
  </si>
  <si>
    <t>14:43:00</t>
  </si>
  <si>
    <t>21-093907</t>
  </si>
  <si>
    <t>2021-36593</t>
  </si>
  <si>
    <t>16:23:00</t>
  </si>
  <si>
    <t>21-093665</t>
  </si>
  <si>
    <t>2020-19620</t>
  </si>
  <si>
    <t>20:14:00</t>
  </si>
  <si>
    <t>20-063171</t>
  </si>
  <si>
    <t>2023-34631</t>
  </si>
  <si>
    <t>15:16:00</t>
  </si>
  <si>
    <t>23-089545</t>
  </si>
  <si>
    <t>2024-31616</t>
  </si>
  <si>
    <t>24-084545</t>
  </si>
  <si>
    <t>2021-26962</t>
  </si>
  <si>
    <t>21-076720</t>
  </si>
  <si>
    <t>2021-27273</t>
  </si>
  <si>
    <t>21-076593</t>
  </si>
  <si>
    <t>2021-26906</t>
  </si>
  <si>
    <t>17:40:00</t>
  </si>
  <si>
    <t>21-076605</t>
  </si>
  <si>
    <t>2020-19235</t>
  </si>
  <si>
    <t>07:50:00</t>
  </si>
  <si>
    <t>20-061487</t>
  </si>
  <si>
    <t>2021-15150</t>
  </si>
  <si>
    <t>21-043813</t>
  </si>
  <si>
    <t>2024-19491</t>
  </si>
  <si>
    <t>09:44:00</t>
  </si>
  <si>
    <t>24-050845</t>
  </si>
  <si>
    <t>2022-11018</t>
  </si>
  <si>
    <t>16:56:00</t>
  </si>
  <si>
    <t>22-016036</t>
  </si>
  <si>
    <t>2019-44563</t>
  </si>
  <si>
    <t>19-016284</t>
  </si>
  <si>
    <t>2018-21899</t>
  </si>
  <si>
    <t>15:30:00</t>
  </si>
  <si>
    <t>18-034707</t>
  </si>
  <si>
    <t>10:10:00</t>
  </si>
  <si>
    <t>2018-32545</t>
  </si>
  <si>
    <t>09:26:00</t>
  </si>
  <si>
    <t>18-088576</t>
  </si>
  <si>
    <t>2018-32597</t>
  </si>
  <si>
    <t>17:36:00</t>
  </si>
  <si>
    <t>18-088728</t>
  </si>
  <si>
    <t>2024-14144</t>
  </si>
  <si>
    <t>11:16:00</t>
  </si>
  <si>
    <t>24-038127</t>
  </si>
  <si>
    <t>2018-28371</t>
  </si>
  <si>
    <t>09:57:00</t>
  </si>
  <si>
    <t>18-080950</t>
  </si>
  <si>
    <t>2023-18063</t>
  </si>
  <si>
    <t>17:55:00</t>
  </si>
  <si>
    <t>Obstruction in Roadway</t>
  </si>
  <si>
    <t>23-047735</t>
  </si>
  <si>
    <t>2019-61737</t>
  </si>
  <si>
    <t>19-065446</t>
  </si>
  <si>
    <t>2018-31711</t>
  </si>
  <si>
    <t>07:14:00</t>
  </si>
  <si>
    <t>Deer</t>
  </si>
  <si>
    <t>18-087299</t>
  </si>
  <si>
    <t>2018-21901</t>
  </si>
  <si>
    <t>18-034973</t>
  </si>
  <si>
    <t>2022-893</t>
  </si>
  <si>
    <t>21:17:00</t>
  </si>
  <si>
    <t>2022-00893</t>
  </si>
  <si>
    <t>22-002516</t>
  </si>
  <si>
    <t>2022-1429</t>
  </si>
  <si>
    <t>2022-01429</t>
  </si>
  <si>
    <t>22-002761</t>
  </si>
  <si>
    <t>2022-33620</t>
  </si>
  <si>
    <t>17:13:00</t>
  </si>
  <si>
    <t>22-087015</t>
  </si>
  <si>
    <t>2022-12052</t>
  </si>
  <si>
    <t>15:15:00</t>
  </si>
  <si>
    <t>22-030225</t>
  </si>
  <si>
    <t>2022-10801</t>
  </si>
  <si>
    <t>22-026225</t>
  </si>
  <si>
    <t>2022-26108</t>
  </si>
  <si>
    <t>09:27:00</t>
  </si>
  <si>
    <t>22-067823</t>
  </si>
  <si>
    <t>2022-26106</t>
  </si>
  <si>
    <t>22-067352</t>
  </si>
  <si>
    <t>2022-13164</t>
  </si>
  <si>
    <t>22-032868</t>
  </si>
  <si>
    <t>2018-10884</t>
  </si>
  <si>
    <t>18-025904</t>
  </si>
  <si>
    <t>No Build (Base)</t>
  </si>
  <si>
    <t>Build (Base)</t>
  </si>
  <si>
    <t>x CMF</t>
  </si>
  <si>
    <t>O</t>
  </si>
  <si>
    <t>K</t>
  </si>
  <si>
    <t>U</t>
  </si>
  <si>
    <t>PDO</t>
  </si>
  <si>
    <t>Row Labels</t>
  </si>
  <si>
    <t>Grand Total</t>
  </si>
  <si>
    <t xml:space="preserve"> K - Fatalities Count</t>
  </si>
  <si>
    <t xml:space="preserve"> A - Suspected Serious Injury Count</t>
  </si>
  <si>
    <t xml:space="preserve"> B - Suspected Minor Injuries Count</t>
  </si>
  <si>
    <t xml:space="preserve"> C - Possible Injuries Count</t>
  </si>
  <si>
    <t xml:space="preserve"> O/PD/PDO - No Apparent Injury Count</t>
  </si>
  <si>
    <t>8-Year Avg. (2018-2025)</t>
  </si>
  <si>
    <t>Est. Annual Injuries (8-year Avg.)</t>
  </si>
  <si>
    <t>Crash Modification Factor ID</t>
  </si>
  <si>
    <t>Crash Modification Factor</t>
  </si>
  <si>
    <t>Crash Reduction Factor</t>
  </si>
  <si>
    <t>Apply curved striping in the intersection of North Main Street and State Street that will help safely guide drivers through the two left turn lanes</t>
  </si>
  <si>
    <t>Realign the right turn channelization lane from North Main Street westbound to State Street northbound as well as the island to current safety standards</t>
  </si>
  <si>
    <t>Construct a landscaped median island along North Main Street with a dedicated left turn lane onto Prospect Street before the crosswalk</t>
  </si>
  <si>
    <t>Create a zipper merge with overhead signage on North Main Street eastbound (No CMF; individual state studies indicate a 30% to 50% reduction in crashes)</t>
  </si>
  <si>
    <t>30%-50%</t>
  </si>
  <si>
    <t>Construct a two-stage raised crosswalk at Holyoke Street with Rectangular Rapid Flashing Beacon (RRFB) signage, pedestrian scale lighting, and upgraded crosswalk ramps</t>
  </si>
  <si>
    <t>Construct stamped shoulders northeast of the crosswalk at Holyoke Street to reinforce the single lanes of traffic (No CMF available)</t>
  </si>
  <si>
    <t>Install overhead lane use signage and ground mounted pedestrian signage (No CMF available)</t>
  </si>
  <si>
    <t>Incorporate updated signal timing and time-of-day signal planning (No CMF available)</t>
  </si>
  <si>
    <t>Update intersection lighting utilizing current USDOT and MaineDOT standards</t>
  </si>
  <si>
    <t>11158, 11168, 11169</t>
  </si>
  <si>
    <t>Construct a raised midblock pedestrian crossing across North Main Street immediately northeast of Center Street with a Pedestrian Hybrid Beacon (PHB) that is electronically connected to the State Street intersection traffic signal</t>
  </si>
  <si>
    <t>Construct a 10-foot-wide raised shared-use pathway along the eastern edge of Center Street from the North Main Street intersection to the parking lot at Village Centre</t>
  </si>
  <si>
    <t>Reconstruct the corridor to include a separated 10-foot-wide shared use pathway south of Wilson Street running throughout the focus area</t>
  </si>
  <si>
    <t>Construct crosswalks and curb ramps further back from streets than those currently existing (No CMF available)</t>
  </si>
  <si>
    <t>Improve access to the Tiller &amp; Rye supermarket property (No CMF available)</t>
  </si>
  <si>
    <t>Eliminate a right turn on red for all North Main Street/South Main Street at Wilson Street intersection approaches by installing static signs and blank-out signs during active bicycle/pedestrian crossings (Minnesota Department of Transportation research indicates that active (dynamic) blank-out signs can achieve about 87% driver compliance, while static signs achieve over 90% compliance.)[1]</t>
  </si>
  <si>
    <t>87%-90%</t>
  </si>
  <si>
    <t>Create a right turn in/right turn out at the driveway between Tiller &amp; Rye supermarket and the First United Methodist Church of Brewer (No CMF available)</t>
  </si>
  <si>
    <t>Incorporate updated signal timing and time-of-day signal planning</t>
  </si>
  <si>
    <t>Safety Solutions by Focus Area</t>
  </si>
  <si>
    <t>Focus Area 1 - Average</t>
  </si>
  <si>
    <t>Focus Area 2 - Average</t>
  </si>
  <si>
    <t>Focus Area 3 - Average</t>
  </si>
  <si>
    <t>Est. Annual Occurrences</t>
  </si>
  <si>
    <t>Monetized Value</t>
  </si>
  <si>
    <t>Check</t>
  </si>
  <si>
    <t>Year Expected</t>
  </si>
  <si>
    <t>No-Build Cost</t>
  </si>
  <si>
    <t>Build Cost</t>
  </si>
  <si>
    <t>Estimated Avg. Annual Inflation Rate (Analysis Period)</t>
  </si>
  <si>
    <t>Determine if we need to include the additional items that don't have a CMF</t>
  </si>
  <si>
    <t xml:space="preserve">Focus Area 2 - Center Street Corridor from North Main Street
to the end of Center Street
</t>
  </si>
  <si>
    <t>Focus Area 3 - Wilson Street Corridor from North Main Street/South Main Street Intersection to the end of State Street</t>
  </si>
  <si>
    <t>Intersecting Streets</t>
  </si>
  <si>
    <t>AADT</t>
  </si>
  <si>
    <t>Bridge</t>
  </si>
  <si>
    <t>Union (North)</t>
  </si>
  <si>
    <t>E Summer St (West)</t>
  </si>
  <si>
    <t>S. Main Street</t>
  </si>
  <si>
    <t>Union (South)</t>
  </si>
  <si>
    <t>Jordan</t>
  </si>
  <si>
    <t>Summer</t>
  </si>
  <si>
    <t>Church (North)</t>
  </si>
  <si>
    <t>Washington</t>
  </si>
  <si>
    <t>Fling</t>
  </si>
  <si>
    <t>Church (South)</t>
  </si>
  <si>
    <t>Cedar</t>
  </si>
  <si>
    <t>Blake</t>
  </si>
  <si>
    <t>Parker</t>
  </si>
  <si>
    <t>Somerset (East)</t>
  </si>
  <si>
    <t>Bretton</t>
  </si>
  <si>
    <t>Somerset (West)</t>
  </si>
  <si>
    <t>Highland</t>
  </si>
  <si>
    <t>State (North)</t>
  </si>
  <si>
    <t>School Dr</t>
  </si>
  <si>
    <t>Glidden</t>
  </si>
  <si>
    <t>State (South)</t>
  </si>
  <si>
    <t>Total:</t>
  </si>
  <si>
    <t>Acme</t>
  </si>
  <si>
    <t>Holyoke (North)</t>
  </si>
  <si>
    <t>Mullen</t>
  </si>
  <si>
    <t>Holyoke (South)</t>
  </si>
  <si>
    <t>Entering Traffic Only</t>
  </si>
  <si>
    <t>Hersey</t>
  </si>
  <si>
    <t>Chamberlain (North)</t>
  </si>
  <si>
    <t>Howard</t>
  </si>
  <si>
    <t>Vista</t>
  </si>
  <si>
    <t>Chamberlain (South)</t>
  </si>
  <si>
    <t>Wilson @ End</t>
  </si>
  <si>
    <t>N. Main @ End</t>
  </si>
  <si>
    <t>Center (North)</t>
  </si>
  <si>
    <t>Focus Area 1 - North Main Street Corridor from State Street to Chamberlain Street</t>
  </si>
  <si>
    <r>
      <rPr>
        <b/>
        <sz val="11"/>
        <color rgb="FFFF0000"/>
        <rFont val="Calibri"/>
        <family val="2"/>
        <scheme val="minor"/>
      </rPr>
      <t>Focus Area 1</t>
    </r>
    <r>
      <rPr>
        <b/>
        <sz val="11"/>
        <color theme="1"/>
        <rFont val="Calibri"/>
        <family val="2"/>
        <scheme val="minor"/>
      </rPr>
      <t>: N. Main Street</t>
    </r>
  </si>
  <si>
    <r>
      <rPr>
        <b/>
        <sz val="11"/>
        <color rgb="FFFF0000"/>
        <rFont val="Calibri"/>
        <family val="2"/>
        <scheme val="minor"/>
      </rPr>
      <t>Focus Area 3:</t>
    </r>
    <r>
      <rPr>
        <b/>
        <sz val="11"/>
        <color theme="1"/>
        <rFont val="Calibri"/>
        <family val="2"/>
        <scheme val="minor"/>
      </rPr>
      <t xml:space="preserve"> Wilson Street</t>
    </r>
  </si>
  <si>
    <r>
      <rPr>
        <b/>
        <sz val="11"/>
        <color rgb="FFFF0000"/>
        <rFont val="Calibri"/>
        <family val="2"/>
        <scheme val="minor"/>
      </rPr>
      <t>Focus Area 2:</t>
    </r>
    <r>
      <rPr>
        <b/>
        <sz val="11"/>
        <color theme="1"/>
        <rFont val="Calibri"/>
        <family val="2"/>
        <scheme val="minor"/>
      </rPr>
      <t xml:space="preserve"> Center Street</t>
    </r>
  </si>
  <si>
    <t>https://www.maine.gov/dafs/economist/demographic-projections</t>
  </si>
  <si>
    <t>Town</t>
  </si>
  <si>
    <t>County</t>
  </si>
  <si>
    <t>Population observed</t>
  </si>
  <si>
    <t>Population projected</t>
  </si>
  <si>
    <t>2032 expenditure ($USD)</t>
  </si>
  <si>
    <t>20 year growth rate: truck volume (%)</t>
  </si>
  <si>
    <t>&lt;-- ~33% of Proposed project budget</t>
  </si>
  <si>
    <r>
      <rPr>
        <b/>
        <sz val="10"/>
        <color theme="1"/>
        <rFont val="Calibri"/>
        <family val="2"/>
        <scheme val="minor"/>
      </rPr>
      <t>Focus Area 2</t>
    </r>
    <r>
      <rPr>
        <sz val="10"/>
        <color theme="1"/>
        <rFont val="Calibri"/>
        <family val="2"/>
        <scheme val="minor"/>
      </rPr>
      <t>:                    
Center Street Corridor from North Main Street
to the end of Center Street</t>
    </r>
  </si>
  <si>
    <t>Values represent total annual vehicle volumes (AADT × 365).</t>
  </si>
  <si>
    <t>Notes:</t>
  </si>
  <si>
    <t>Entries are directly linked to the "Input" tab</t>
  </si>
  <si>
    <t>Focus Area 2 - Center Street Corridor from North Main Street
to the end of Center Street</t>
  </si>
  <si>
    <t>Annual Maintenance Costs</t>
  </si>
  <si>
    <t>Annual</t>
  </si>
  <si>
    <t>Lighting</t>
  </si>
  <si>
    <t>Pavement Markings</t>
  </si>
  <si>
    <t>Signs</t>
  </si>
  <si>
    <t>Drainage</t>
  </si>
  <si>
    <t>Potholes</t>
  </si>
  <si>
    <t>Spot Sidewalk Repair</t>
  </si>
  <si>
    <t>Signal Maintenance</t>
  </si>
  <si>
    <t>Total Annual Maintenance Costs</t>
  </si>
  <si>
    <t>One-Time Maintenance Costs</t>
  </si>
  <si>
    <t>Mill/Fill</t>
  </si>
  <si>
    <t>Spot Sidewalk/SUP Repair</t>
  </si>
  <si>
    <t>PHB Maintenance</t>
  </si>
  <si>
    <t>Total One-Time Maintenance Costs</t>
  </si>
  <si>
    <t>Focus Area 2 - Center Street Corridor from North Main Street to the end of Center Street</t>
  </si>
  <si>
    <t>Signals</t>
  </si>
  <si>
    <t>Template constraint: Maintenance costs tab begins in 2033. This one-time mill/fill would occur in 2030 under No-Build; modeled in 2033 for conservatism/visibility</t>
  </si>
  <si>
    <t>Template constraint: Maintenance costs tab begins in 2033. This one-time mill/fill would occur in 2029 under No-Build; modeled in 2033 for conservatism/visibility</t>
  </si>
  <si>
    <t>15 years post-project completion</t>
  </si>
  <si>
    <t>Sidewalk Gain Benefit:</t>
  </si>
  <si>
    <t>Sidewalk/multi-use path width gained (ft):</t>
  </si>
  <si>
    <t>&lt;--Per BCA guidance</t>
  </si>
  <si>
    <t>Maximum pedestrian trip length per BCA Guidance (mi):</t>
  </si>
  <si>
    <t>Value per trip:</t>
  </si>
  <si>
    <t>Crosswalk Gain Benefit:</t>
  </si>
  <si>
    <t>Signal Gain Benefit:</t>
  </si>
  <si>
    <t>Pedestrian Signals Gained:</t>
  </si>
  <si>
    <t>Total Pedestrian Improvement Per Trip:</t>
  </si>
  <si>
    <t>Cycling Facility Improvement Benefit:</t>
  </si>
  <si>
    <t>Total Cyclist Improvement Per Trip:</t>
  </si>
  <si>
    <t>Recommended Value: Expand Sidewalk (per foot of added width)</t>
  </si>
  <si>
    <t>Value per trip</t>
  </si>
  <si>
    <t>&lt;--Project construction start of Nov. 2029, rounded to nearest whole year to fit within BCA template</t>
  </si>
  <si>
    <t>Operational Period Length (Years)</t>
  </si>
  <si>
    <t>&lt;--Reflects Brewer's 5-year population growth estimate (2022-2027)</t>
  </si>
  <si>
    <t>Daily vehicle volume (trip count)</t>
  </si>
  <si>
    <t>Daily truck volume (trip count)</t>
  </si>
  <si>
    <t>Daily pedestrian volume (trip count)</t>
  </si>
  <si>
    <t>Daily cyclist volume (trip count)</t>
  </si>
  <si>
    <t>&lt;--Unchanged by the project</t>
  </si>
  <si>
    <t>User Volumes (1st Year of the Analysis Period)</t>
  </si>
  <si>
    <r>
      <t xml:space="preserve">Close the driveway that exits into the </t>
    </r>
    <r>
      <rPr>
        <sz val="10"/>
        <rFont val="Calibri"/>
        <family val="2"/>
        <scheme val="minor"/>
      </rPr>
      <t>North Main Street/South Main Street at Wilson Street</t>
    </r>
    <r>
      <rPr>
        <sz val="10"/>
        <color rgb="FF000000"/>
        <rFont val="Calibri"/>
        <family val="2"/>
        <scheme val="minor"/>
      </rPr>
      <t xml:space="preserve"> intersection and redirect those vehicles to Union Street for access (No CMF available)</t>
    </r>
  </si>
  <si>
    <t>CMF &amp; CRF reflect the midpoint of the applicable range (0.27-0.31 and 0.69-73, respectively)</t>
  </si>
  <si>
    <t>Costs</t>
  </si>
  <si>
    <t>Benefits</t>
  </si>
  <si>
    <t>Discounted</t>
  </si>
  <si>
    <t>Emission Reductions</t>
  </si>
  <si>
    <t>Benefit-Cost Ratio</t>
  </si>
  <si>
    <t>7% NPV Summary</t>
  </si>
  <si>
    <t>Pedestrian Enhancements</t>
  </si>
  <si>
    <t>Cyclist Enhancements</t>
  </si>
  <si>
    <t>New Marked-Crosswalks</t>
  </si>
  <si>
    <t>New Separated Cycle Tracks</t>
  </si>
  <si>
    <t xml:space="preserve">&lt;--New multi-used paths </t>
  </si>
  <si>
    <t>&lt;-- Sidewalk width will increase to 6' in all focus areas</t>
  </si>
  <si>
    <t>&lt;-- Included as a qualitative benefit only, as Focus Area 2 does not meet the traffic volume threshold</t>
  </si>
  <si>
    <t>&lt;-- Focus Area 2 was included as a qualitative benefit only, as it does not meet the traffic volume threshold</t>
  </si>
  <si>
    <t>Recommended Value: Install Marked-Crosswalk on Roadway with Volumes ≥10,000 Vehicle per Day</t>
  </si>
  <si>
    <t>Recommended Value: Install Signal for Pedestrian Crossing on Roadway with Volumes ≥13,000 Vehicles per Day</t>
  </si>
  <si>
    <t>Recommended Value: Separated Cycle Track</t>
  </si>
  <si>
    <t>&lt;-- Per BCA Guidance</t>
  </si>
  <si>
    <t>Estimated cyclist trip length (mi):</t>
  </si>
  <si>
    <t>&lt;--Maximum walking trip distance per BCA guidance (avg. walking trip within project area assumed to meet maximum value of 0.86)</t>
  </si>
  <si>
    <t>&lt;-- Total proposed project budget</t>
  </si>
  <si>
    <t>&lt;-- Volumes obtained from the most recent full-year StreetLight analysis (2021). One-time 3% increase in non-motorized volumes at project opening to reflect improved connectivity and safety; thereafter, volumes grow at 0.3% annually consistent with projected population growth.</t>
  </si>
  <si>
    <t>&lt;-- AADT data were obtained from MaineDOT’s statewide model (2024). Assumes no incremental increase in vehicle volumes attributable to the project. Post-project years reflect a 0.3% annual growth rate in both the Build and No-Build scenarios, consistent with projected population growth</t>
  </si>
  <si>
    <t>&lt;-- AADT data were obtained from MaineDOT’s statewide model (2024). Assumes no incremental increase in truck volumes attributable to the project. Post-project years reflect a 0.3% annual growth rate in both the Build and No-Build scenarios, consistent with projected population growth</t>
  </si>
  <si>
    <t>AADT data by Focus Area</t>
  </si>
  <si>
    <t>Total Vehicle Volume (Enter + Exit)</t>
  </si>
  <si>
    <t>Total Vehicle Volume (Entering)</t>
  </si>
  <si>
    <t>Total Truck Volume</t>
  </si>
  <si>
    <t>&lt; -- Total Vehicle volume used (including Trucks)</t>
  </si>
  <si>
    <t>Vehicle &amp; Truck AADT</t>
  </si>
  <si>
    <t>Vehicle and truck AADT data were sourced from MaineDOT’s statewide model. Within the project limits, AADT was calculated by summing the AADT for all intersecting roadways and dividing by two to reflect bi-directional conditions. Truck volumes were estimated using intersection turning movement count data.</t>
  </si>
  <si>
    <t>*Data reflect MaineDOT’s demographic projections as of February 19, 2026</t>
  </si>
  <si>
    <t>Maintenance Cost Savings</t>
  </si>
  <si>
    <t>&lt;&lt; 2022-2027 Growth Rate</t>
  </si>
  <si>
    <t>&lt; -- Total Truck Volume - Est. based on the % of total vehicles classified as trucks at the primary intersection.</t>
  </si>
  <si>
    <t>&lt;- Because the data combine O (No Injury) events and PDO crashes into a single category, an even distribution between the two was assumed.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</si>
</sst>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quot;$&quot;#,##0.0000"/>
    <numFmt numFmtId="167" formatCode="&quot;$&quot;#,##0.000_);[Red]\(&quot;$&quot;#,##0.000\)"/>
    <numFmt numFmtId="168" formatCode="&quot;$&quot;#,##0.0000_);[Red]\(&quot;$&quot;#,##0.0000\)"/>
    <numFmt numFmtId="169" formatCode="&quot;$&quot;#,##0.000"/>
    <numFmt numFmtId="170" formatCode="_(&quot;$&quot;* #,##0_);_(&quot;$&quot;* \(#,##0\);_(&quot;$&quot;* &quot;-&quot;??_);_(@_)"/>
    <numFmt numFmtId="171" formatCode="0.0%"/>
    <numFmt numFmtId="172" formatCode="yyyy\-mm\-dd\ h:mm:ss"/>
    <numFmt numFmtId="173" formatCode="0.0"/>
    <numFmt numFmtId="174" formatCode="&quot; &quot;&quot;$&quot;* #,##0&quot; &quot;;&quot; &quot;&quot;$&quot;* \(#,##0\);&quot; &quot;&quot;$&quot;* &quot;-&quot;??&quot; &quot;"/>
  </numFmts>
  <fonts count="56" x14ac:knownFonts="1">
    <font>
      <sz val="11"/>
      <color theme="1"/>
      <name val="Calibri"/>
      <family val="2"/>
      <scheme val="minor"/>
    </font>
    <font>
      <u/>
      <sz val="11"/>
      <color theme="10"/>
      <name val="Calibri"/>
      <family val="2"/>
      <scheme val="minor"/>
    </font>
    <font>
      <sz val="11"/>
      <color rgb="FF1F497D"/>
      <name val="Times New Roman"/>
      <family val="1"/>
    </font>
    <font>
      <vertAlign val="superscript"/>
      <sz val="11"/>
      <color rgb="FF1F497D"/>
      <name val="Times New Roman"/>
      <family val="1"/>
    </font>
    <font>
      <vertAlign val="superscript"/>
      <sz val="11"/>
      <color theme="1"/>
      <name val="Calibri"/>
      <family val="2"/>
      <scheme val="minor"/>
    </font>
    <font>
      <b/>
      <i/>
      <sz val="11"/>
      <color theme="8" tint="-0.249977111117893"/>
      <name val="Times New Roman"/>
      <family val="1"/>
    </font>
    <font>
      <sz val="11"/>
      <color theme="1"/>
      <name val="Times New Roman"/>
      <family val="1"/>
    </font>
    <font>
      <vertAlign val="superscript"/>
      <sz val="11"/>
      <color theme="1"/>
      <name val="Times New Roman"/>
      <family val="1"/>
    </font>
    <font>
      <vertAlign val="subscript"/>
      <sz val="11"/>
      <color rgb="FF1F497D"/>
      <name val="Times New Roman"/>
      <family val="1"/>
    </font>
    <font>
      <b/>
      <u/>
      <sz val="11"/>
      <color theme="1"/>
      <name val="Calibri"/>
      <family val="2"/>
      <scheme val="minor"/>
    </font>
    <font>
      <i/>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1"/>
      <color theme="0"/>
      <name val="Calibri"/>
      <family val="2"/>
      <scheme val="minor"/>
    </font>
    <font>
      <sz val="11"/>
      <color theme="0"/>
      <name val="Calibri"/>
      <family val="2"/>
      <scheme val="minor"/>
    </font>
    <font>
      <b/>
      <sz val="15"/>
      <name val="Calibri"/>
      <family val="2"/>
      <scheme val="minor"/>
    </font>
    <font>
      <sz val="12"/>
      <color theme="1"/>
      <name val="Calibri"/>
      <family val="2"/>
      <scheme val="minor"/>
    </font>
    <font>
      <sz val="11"/>
      <name val="Calibri"/>
      <family val="2"/>
      <scheme val="minor"/>
    </font>
    <font>
      <b/>
      <sz val="11"/>
      <name val="Calibri"/>
      <family val="2"/>
      <scheme val="minor"/>
    </font>
    <font>
      <b/>
      <sz val="16"/>
      <color theme="0"/>
      <name val="Calibri"/>
      <family val="2"/>
      <scheme val="minor"/>
    </font>
    <font>
      <b/>
      <sz val="11"/>
      <color theme="0"/>
      <name val="Times New Roman"/>
      <family val="1"/>
    </font>
    <font>
      <sz val="11"/>
      <color theme="0"/>
      <name val="Times New Roman"/>
      <family val="1"/>
    </font>
    <font>
      <vertAlign val="superscript"/>
      <sz val="11"/>
      <color theme="0"/>
      <name val="Times New Roman"/>
      <family val="1"/>
    </font>
    <font>
      <vertAlign val="superscript"/>
      <sz val="11"/>
      <color theme="0"/>
      <name val="Calibri"/>
      <family val="2"/>
      <scheme val="minor"/>
    </font>
    <font>
      <vertAlign val="subscript"/>
      <sz val="11"/>
      <color theme="0"/>
      <name val="Times New Roman"/>
      <family val="1"/>
    </font>
    <font>
      <sz val="14"/>
      <name val="Calibri"/>
      <family val="2"/>
      <scheme val="minor"/>
    </font>
    <font>
      <vertAlign val="subscript"/>
      <sz val="11"/>
      <color theme="0"/>
      <name val="Calibri"/>
      <family val="2"/>
      <scheme val="minor"/>
    </font>
    <font>
      <u/>
      <sz val="11"/>
      <name val="Calibri"/>
      <family val="2"/>
      <scheme val="minor"/>
    </font>
    <font>
      <i/>
      <sz val="11"/>
      <name val="Calibri"/>
      <family val="2"/>
      <scheme val="minor"/>
    </font>
    <font>
      <b/>
      <sz val="11"/>
      <color theme="1"/>
      <name val="Calibri"/>
      <family val="2"/>
      <scheme val="minor"/>
    </font>
    <font>
      <sz val="11"/>
      <color rgb="FF0000FF"/>
      <name val="Calibri"/>
      <family val="2"/>
      <scheme val="minor"/>
    </font>
    <font>
      <sz val="11"/>
      <color rgb="FFFF0000"/>
      <name val="Calibri"/>
      <family val="2"/>
      <scheme val="minor"/>
    </font>
    <font>
      <b/>
      <sz val="12"/>
      <color theme="1"/>
      <name val="Calibri"/>
      <family val="2"/>
      <scheme val="minor"/>
    </font>
    <font>
      <sz val="10"/>
      <color theme="1"/>
      <name val="Calibri"/>
      <family val="2"/>
      <scheme val="minor"/>
    </font>
    <font>
      <b/>
      <sz val="10"/>
      <color theme="1"/>
      <name val="Calibri"/>
      <family val="2"/>
      <scheme val="minor"/>
    </font>
    <font>
      <i/>
      <sz val="9"/>
      <color theme="1"/>
      <name val="Calibri"/>
      <family val="2"/>
      <scheme val="minor"/>
    </font>
    <font>
      <sz val="9"/>
      <color theme="1"/>
      <name val="Calibri"/>
      <family val="2"/>
      <scheme val="minor"/>
    </font>
    <font>
      <b/>
      <sz val="12"/>
      <name val="Calibri"/>
      <family val="2"/>
    </font>
    <font>
      <sz val="11"/>
      <color rgb="FF00B050"/>
      <name val="Calibri"/>
      <family val="2"/>
      <scheme val="minor"/>
    </font>
    <font>
      <sz val="11"/>
      <color rgb="FF0070C0"/>
      <name val="Calibri"/>
      <family val="2"/>
      <scheme val="minor"/>
    </font>
    <font>
      <i/>
      <sz val="11"/>
      <color rgb="FFFF0000"/>
      <name val="Calibri"/>
      <family val="2"/>
      <scheme val="minor"/>
    </font>
    <font>
      <b/>
      <sz val="11"/>
      <color rgb="FFFF0000"/>
      <name val="Calibri"/>
      <family val="2"/>
      <scheme val="minor"/>
    </font>
    <font>
      <i/>
      <sz val="10"/>
      <color rgb="FFFF0000"/>
      <name val="Calibri"/>
      <family val="2"/>
      <scheme val="minor"/>
    </font>
    <font>
      <sz val="11"/>
      <color indexed="8"/>
      <name val="Calibri"/>
      <family val="2"/>
      <scheme val="minor"/>
    </font>
    <font>
      <b/>
      <sz val="11"/>
      <color indexed="8"/>
      <name val="Calibri"/>
      <family val="2"/>
      <scheme val="minor"/>
    </font>
    <font>
      <b/>
      <sz val="20"/>
      <color rgb="FF00B050"/>
      <name val="Calibri"/>
      <family val="2"/>
      <scheme val="minor"/>
    </font>
    <font>
      <u/>
      <sz val="11"/>
      <color theme="1"/>
      <name val="Calibri"/>
      <family val="2"/>
      <scheme val="minor"/>
    </font>
    <font>
      <i/>
      <u/>
      <sz val="11"/>
      <color theme="1"/>
      <name val="Calibri"/>
      <family val="2"/>
      <scheme val="minor"/>
    </font>
    <font>
      <b/>
      <sz val="10"/>
      <color theme="0"/>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vertAlign val="superscript"/>
      <sz val="10"/>
      <color rgb="FF000000"/>
      <name val="Calibri"/>
      <family val="2"/>
      <scheme val="minor"/>
    </font>
    <font>
      <b/>
      <i/>
      <u/>
      <sz val="11"/>
      <name val="Calibri"/>
      <family val="2"/>
      <scheme val="minor"/>
    </font>
  </fonts>
  <fills count="28">
    <fill>
      <patternFill patternType="none"/>
    </fill>
    <fill>
      <patternFill patternType="gray125"/>
    </fill>
    <fill>
      <patternFill patternType="solid">
        <fgColor theme="9"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A9D08E"/>
        <bgColor indexed="64"/>
      </patternFill>
    </fill>
    <fill>
      <patternFill patternType="solid">
        <fgColor theme="0" tint="-4.9989318521683403E-2"/>
        <bgColor indexed="64"/>
      </patternFill>
    </fill>
    <fill>
      <patternFill patternType="solid">
        <fgColor theme="1"/>
        <bgColor indexed="64"/>
      </patternFill>
    </fill>
    <fill>
      <patternFill patternType="solid">
        <fgColor theme="4"/>
        <bgColor theme="4"/>
      </patternFill>
    </fill>
    <fill>
      <patternFill patternType="solid">
        <fgColor theme="4"/>
        <bgColor indexed="64"/>
      </patternFill>
    </fill>
    <fill>
      <patternFill patternType="solid">
        <fgColor theme="1"/>
        <bgColor theme="1"/>
      </patternFill>
    </fill>
    <fill>
      <patternFill patternType="solid">
        <fgColor theme="1" tint="0.34998626667073579"/>
        <bgColor indexed="64"/>
      </patternFill>
    </fill>
    <fill>
      <patternFill patternType="solid">
        <fgColor theme="0" tint="-0.14999847407452621"/>
        <bgColor indexed="64"/>
      </patternFill>
    </fill>
    <fill>
      <patternFill patternType="solid">
        <fgColor rgb="FFFFFFCC"/>
      </patternFill>
    </fill>
    <fill>
      <patternFill patternType="solid">
        <fgColor theme="8" tint="0.39997558519241921"/>
        <bgColor indexed="64"/>
      </patternFill>
    </fill>
    <fill>
      <patternFill patternType="solid">
        <fgColor rgb="FFBFBFBF"/>
        <bgColor indexed="64"/>
      </patternFill>
    </fill>
    <fill>
      <patternFill patternType="solid">
        <fgColor rgb="FF548235"/>
        <bgColor indexed="64"/>
      </patternFill>
    </fill>
    <fill>
      <patternFill patternType="solid">
        <fgColor rgb="FF002060"/>
        <bgColor indexed="64"/>
      </patternFill>
    </fill>
    <fill>
      <patternFill patternType="solid">
        <fgColor rgb="FF0070C0"/>
        <bgColor indexed="64"/>
      </patternFill>
    </fill>
    <fill>
      <patternFill patternType="solid">
        <fgColor them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E6E6E6"/>
        <bgColor rgb="FFE6E6E6"/>
      </patternFill>
    </fill>
    <fill>
      <patternFill patternType="solid">
        <fgColor theme="6" tint="0.79998168889431442"/>
        <bgColor indexed="64"/>
      </patternFill>
    </fill>
    <fill>
      <patternFill patternType="solid">
        <fgColor rgb="FF00B050"/>
        <bgColor indexed="64"/>
      </patternFill>
    </fill>
    <fill>
      <patternFill patternType="solid">
        <fgColor rgb="FF92D050"/>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ck">
        <color theme="4" tint="0.499984740745262"/>
      </top>
      <bottom style="thin">
        <color indexed="64"/>
      </bottom>
      <diagonal/>
    </border>
    <border>
      <left style="thin">
        <color indexed="64"/>
      </left>
      <right style="thin">
        <color indexed="64"/>
      </right>
      <top style="thick">
        <color theme="4" tint="0.499984740745262"/>
      </top>
      <bottom/>
      <diagonal/>
    </border>
    <border>
      <left style="medium">
        <color indexed="64"/>
      </left>
      <right/>
      <top style="medium">
        <color indexed="64"/>
      </top>
      <bottom style="thick">
        <color theme="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B2B2B2"/>
      </left>
      <right style="thin">
        <color rgb="FFB2B2B2"/>
      </right>
      <top style="thin">
        <color rgb="FFB2B2B2"/>
      </top>
      <bottom style="thin">
        <color rgb="FFB2B2B2"/>
      </bottom>
      <diagonal/>
    </border>
    <border>
      <left/>
      <right style="dashDotDot">
        <color theme="0" tint="-0.249977111117893"/>
      </right>
      <top/>
      <bottom/>
      <diagonal/>
    </border>
    <border>
      <left/>
      <right/>
      <top/>
      <bottom style="thin">
        <color theme="0" tint="-0.249977111117893"/>
      </bottom>
      <diagonal/>
    </border>
    <border>
      <left style="dashDotDot">
        <color theme="0" tint="-0.249977111117893"/>
      </left>
      <right/>
      <top style="thin">
        <color indexed="64"/>
      </top>
      <bottom/>
      <diagonal/>
    </border>
    <border>
      <left/>
      <right style="dashDotDot">
        <color theme="0" tint="-0.249977111117893"/>
      </right>
      <top style="thin">
        <color indexed="64"/>
      </top>
      <bottom/>
      <diagonal/>
    </border>
    <border>
      <left style="dashDotDot">
        <color theme="0" tint="-0.249977111117893"/>
      </left>
      <right/>
      <top/>
      <bottom/>
      <diagonal/>
    </border>
    <border>
      <left/>
      <right/>
      <top/>
      <bottom style="medium">
        <color rgb="FF000000"/>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s>
  <cellStyleXfs count="12">
    <xf numFmtId="0" fontId="0" fillId="0" borderId="0"/>
    <xf numFmtId="0" fontId="1" fillId="0" borderId="0" applyNumberFormat="0" applyFill="0" applyBorder="0" applyAlignment="0" applyProtection="0"/>
    <xf numFmtId="44" fontId="11" fillId="0" borderId="0" applyFont="0" applyFill="0" applyBorder="0" applyAlignment="0" applyProtection="0"/>
    <xf numFmtId="0" fontId="12" fillId="0" borderId="24" applyNumberFormat="0" applyFill="0" applyAlignment="0" applyProtection="0"/>
    <xf numFmtId="0" fontId="13" fillId="0" borderId="25" applyNumberFormat="0" applyFill="0" applyAlignment="0" applyProtection="0"/>
    <xf numFmtId="0" fontId="14" fillId="0" borderId="0" applyNumberFormat="0" applyFill="0" applyBorder="0" applyAlignment="0" applyProtection="0"/>
    <xf numFmtId="0" fontId="18" fillId="0" borderId="0"/>
    <xf numFmtId="0" fontId="1" fillId="0" borderId="0" applyNumberFormat="0" applyFill="0" applyBorder="0" applyAlignment="0" applyProtection="0"/>
    <xf numFmtId="0" fontId="11" fillId="13" borderId="31" applyNumberFormat="0" applyFont="0" applyAlignment="0" applyProtection="0"/>
    <xf numFmtId="43" fontId="11" fillId="0" borderId="0" applyFont="0" applyFill="0" applyBorder="0" applyAlignment="0" applyProtection="0"/>
    <xf numFmtId="9" fontId="11" fillId="0" borderId="0" applyFont="0" applyFill="0" applyBorder="0" applyAlignment="0" applyProtection="0"/>
    <xf numFmtId="0" fontId="39" fillId="24" borderId="37">
      <alignment horizontal="left"/>
    </xf>
  </cellStyleXfs>
  <cellXfs count="581">
    <xf numFmtId="0" fontId="0" fillId="0" borderId="0" xfId="0"/>
    <xf numFmtId="0" fontId="0" fillId="3" borderId="0" xfId="0" applyFill="1"/>
    <xf numFmtId="0" fontId="0" fillId="3" borderId="14" xfId="0" applyFill="1" applyBorder="1"/>
    <xf numFmtId="0" fontId="0" fillId="3" borderId="16" xfId="0" applyFill="1" applyBorder="1"/>
    <xf numFmtId="0" fontId="6" fillId="0" borderId="10" xfId="0" applyFont="1" applyBorder="1"/>
    <xf numFmtId="0" fontId="0" fillId="4" borderId="0" xfId="0" applyFill="1"/>
    <xf numFmtId="0" fontId="0" fillId="3" borderId="13" xfId="0" applyFill="1" applyBorder="1"/>
    <xf numFmtId="6" fontId="0" fillId="3" borderId="0" xfId="0" applyNumberFormat="1" applyFill="1"/>
    <xf numFmtId="6" fontId="0" fillId="3" borderId="21" xfId="0" applyNumberFormat="1" applyFill="1" applyBorder="1"/>
    <xf numFmtId="6" fontId="0" fillId="3" borderId="22" xfId="0" applyNumberFormat="1" applyFill="1" applyBorder="1"/>
    <xf numFmtId="0" fontId="0" fillId="0" borderId="7" xfId="0" applyBorder="1"/>
    <xf numFmtId="0" fontId="0" fillId="0" borderId="18"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9" xfId="0" applyBorder="1"/>
    <xf numFmtId="0" fontId="0" fillId="0" borderId="12" xfId="0" applyBorder="1"/>
    <xf numFmtId="6" fontId="0" fillId="3" borderId="4" xfId="0" applyNumberFormat="1" applyFill="1" applyBorder="1"/>
    <xf numFmtId="165" fontId="0" fillId="3" borderId="3" xfId="0" applyNumberFormat="1" applyFill="1" applyBorder="1"/>
    <xf numFmtId="165" fontId="0" fillId="3" borderId="5" xfId="0" applyNumberFormat="1" applyFill="1" applyBorder="1"/>
    <xf numFmtId="165" fontId="0" fillId="3" borderId="0" xfId="0" applyNumberFormat="1" applyFill="1"/>
    <xf numFmtId="6" fontId="9" fillId="2" borderId="2" xfId="0" applyNumberFormat="1" applyFont="1" applyFill="1" applyBorder="1"/>
    <xf numFmtId="1" fontId="9" fillId="2" borderId="1" xfId="0" applyNumberFormat="1" applyFont="1" applyFill="1" applyBorder="1"/>
    <xf numFmtId="0" fontId="9" fillId="2" borderId="17" xfId="0" applyFont="1" applyFill="1" applyBorder="1" applyAlignment="1">
      <alignment horizontal="right"/>
    </xf>
    <xf numFmtId="0" fontId="0" fillId="3" borderId="15" xfId="0" applyFill="1" applyBorder="1"/>
    <xf numFmtId="6" fontId="0" fillId="3" borderId="20" xfId="0" applyNumberFormat="1" applyFill="1" applyBorder="1"/>
    <xf numFmtId="1" fontId="9" fillId="2" borderId="2" xfId="0" applyNumberFormat="1" applyFont="1" applyFill="1" applyBorder="1"/>
    <xf numFmtId="6" fontId="9" fillId="4" borderId="0" xfId="0" applyNumberFormat="1" applyFont="1" applyFill="1"/>
    <xf numFmtId="6" fontId="0" fillId="4" borderId="0" xfId="0" applyNumberFormat="1" applyFill="1"/>
    <xf numFmtId="1" fontId="0" fillId="3" borderId="13" xfId="0" applyNumberFormat="1" applyFill="1" applyBorder="1"/>
    <xf numFmtId="0" fontId="0" fillId="4" borderId="13" xfId="0" applyFill="1" applyBorder="1"/>
    <xf numFmtId="6" fontId="9" fillId="4" borderId="13" xfId="0" applyNumberFormat="1" applyFont="1" applyFill="1" applyBorder="1"/>
    <xf numFmtId="6" fontId="0" fillId="4" borderId="13" xfId="0" applyNumberFormat="1" applyFill="1" applyBorder="1"/>
    <xf numFmtId="1" fontId="9" fillId="2" borderId="15" xfId="0" applyNumberFormat="1" applyFont="1" applyFill="1" applyBorder="1"/>
    <xf numFmtId="0" fontId="0" fillId="4" borderId="1" xfId="0" applyFill="1" applyBorder="1" applyAlignment="1">
      <alignment vertical="top" wrapText="1"/>
    </xf>
    <xf numFmtId="165" fontId="0" fillId="4" borderId="0" xfId="0" applyNumberFormat="1" applyFill="1"/>
    <xf numFmtId="165" fontId="0" fillId="3" borderId="16" xfId="0" applyNumberFormat="1" applyFill="1" applyBorder="1"/>
    <xf numFmtId="0" fontId="0" fillId="4" borderId="0" xfId="0" applyFill="1" applyAlignment="1">
      <alignment vertical="top" wrapText="1"/>
    </xf>
    <xf numFmtId="164" fontId="0" fillId="4" borderId="1" xfId="0" applyNumberFormat="1" applyFill="1" applyBorder="1" applyAlignment="1">
      <alignment vertical="top" wrapText="1"/>
    </xf>
    <xf numFmtId="165" fontId="0" fillId="4" borderId="1" xfId="0" applyNumberFormat="1" applyFill="1" applyBorder="1" applyAlignment="1">
      <alignment vertical="top" wrapText="1"/>
    </xf>
    <xf numFmtId="0" fontId="9" fillId="5" borderId="1" xfId="0" applyFont="1" applyFill="1" applyBorder="1"/>
    <xf numFmtId="8" fontId="0" fillId="4" borderId="1" xfId="0" applyNumberFormat="1" applyFill="1" applyBorder="1" applyAlignment="1">
      <alignment vertical="top" wrapText="1"/>
    </xf>
    <xf numFmtId="0" fontId="0" fillId="4" borderId="1" xfId="0" applyFill="1" applyBorder="1"/>
    <xf numFmtId="164" fontId="0" fillId="4" borderId="1" xfId="2" applyNumberFormat="1" applyFont="1" applyFill="1" applyBorder="1"/>
    <xf numFmtId="0" fontId="17" fillId="4" borderId="24" xfId="3" applyFont="1" applyFill="1" applyAlignment="1">
      <alignment wrapText="1"/>
    </xf>
    <xf numFmtId="0" fontId="11" fillId="0" borderId="0" xfId="6" quotePrefix="1" applyFont="1"/>
    <xf numFmtId="0" fontId="13" fillId="0" borderId="25" xfId="4" applyFill="1" applyAlignment="1">
      <alignment wrapText="1"/>
    </xf>
    <xf numFmtId="0" fontId="13" fillId="0" borderId="25" xfId="4" applyFill="1" applyAlignment="1"/>
    <xf numFmtId="0" fontId="19" fillId="6" borderId="21" xfId="0" applyFont="1" applyFill="1" applyBorder="1" applyAlignment="1">
      <alignment vertical="center" wrapText="1"/>
    </xf>
    <xf numFmtId="0" fontId="19" fillId="6" borderId="26" xfId="0" applyFont="1" applyFill="1" applyBorder="1" applyAlignment="1">
      <alignment vertical="center" wrapText="1"/>
    </xf>
    <xf numFmtId="0" fontId="19" fillId="6" borderId="21" xfId="0" applyFont="1" applyFill="1" applyBorder="1" applyAlignment="1">
      <alignment horizontal="left" wrapText="1"/>
    </xf>
    <xf numFmtId="0" fontId="19" fillId="6" borderId="21" xfId="0" applyFont="1" applyFill="1" applyBorder="1" applyAlignment="1">
      <alignment horizontal="left"/>
    </xf>
    <xf numFmtId="0" fontId="1" fillId="6" borderId="6" xfId="1" applyFill="1" applyBorder="1" applyAlignment="1">
      <alignment vertical="center" wrapText="1"/>
    </xf>
    <xf numFmtId="0" fontId="19" fillId="6" borderId="27" xfId="0" applyFont="1" applyFill="1" applyBorder="1" applyAlignment="1">
      <alignment vertical="center" wrapText="1"/>
    </xf>
    <xf numFmtId="0" fontId="19" fillId="6" borderId="22" xfId="0" applyFont="1" applyFill="1" applyBorder="1" applyAlignment="1">
      <alignment wrapText="1"/>
    </xf>
    <xf numFmtId="0" fontId="21" fillId="7" borderId="2" xfId="0" applyFont="1" applyFill="1" applyBorder="1"/>
    <xf numFmtId="0" fontId="0" fillId="7" borderId="13" xfId="0" applyFill="1" applyBorder="1"/>
    <xf numFmtId="0" fontId="0" fillId="0" borderId="13" xfId="0" applyBorder="1"/>
    <xf numFmtId="0" fontId="0" fillId="0" borderId="23" xfId="0" applyBorder="1"/>
    <xf numFmtId="0" fontId="0" fillId="0" borderId="4" xfId="0" applyBorder="1"/>
    <xf numFmtId="0" fontId="1" fillId="0" borderId="3" xfId="1" applyBorder="1" applyAlignment="1"/>
    <xf numFmtId="0" fontId="0" fillId="0" borderId="3" xfId="0" applyBorder="1"/>
    <xf numFmtId="0" fontId="5" fillId="0" borderId="3" xfId="0" applyFont="1" applyBorder="1"/>
    <xf numFmtId="0" fontId="6" fillId="0" borderId="0" xfId="0" applyFont="1"/>
    <xf numFmtId="0" fontId="6" fillId="0" borderId="3" xfId="0" applyFont="1" applyBorder="1"/>
    <xf numFmtId="0" fontId="15" fillId="8" borderId="1" xfId="0" applyFont="1" applyFill="1" applyBorder="1" applyAlignment="1">
      <alignment wrapText="1"/>
    </xf>
    <xf numFmtId="0" fontId="2" fillId="0" borderId="1" xfId="0" applyFont="1" applyBorder="1" applyAlignment="1">
      <alignment vertical="center" wrapText="1"/>
    </xf>
    <xf numFmtId="6" fontId="2" fillId="0" borderId="1" xfId="0" applyNumberFormat="1" applyFont="1" applyBorder="1" applyAlignment="1">
      <alignment horizontal="right" vertical="center" wrapText="1"/>
    </xf>
    <xf numFmtId="0" fontId="6" fillId="0" borderId="1" xfId="0" applyFont="1" applyBorder="1"/>
    <xf numFmtId="164" fontId="2" fillId="0" borderId="1" xfId="0" applyNumberFormat="1" applyFont="1" applyBorder="1"/>
    <xf numFmtId="0" fontId="0" fillId="7" borderId="23" xfId="0" applyFill="1" applyBorder="1"/>
    <xf numFmtId="0" fontId="6" fillId="0" borderId="4" xfId="0" applyFont="1" applyBorder="1"/>
    <xf numFmtId="0" fontId="6" fillId="0" borderId="2" xfId="0" applyFont="1" applyBorder="1"/>
    <xf numFmtId="0" fontId="6" fillId="0" borderId="23" xfId="0" applyFont="1" applyBorder="1"/>
    <xf numFmtId="0" fontId="23" fillId="9" borderId="1" xfId="0" applyFont="1" applyFill="1" applyBorder="1" applyAlignment="1">
      <alignment vertical="center" wrapText="1"/>
    </xf>
    <xf numFmtId="0" fontId="23" fillId="9" borderId="1" xfId="0" applyFont="1" applyFill="1" applyBorder="1" applyAlignment="1">
      <alignment horizontal="right" vertical="center" wrapText="1"/>
    </xf>
    <xf numFmtId="2" fontId="2" fillId="0" borderId="1" xfId="0" applyNumberFormat="1" applyFont="1" applyBorder="1" applyAlignment="1">
      <alignment horizontal="right" vertical="center" wrapText="1"/>
    </xf>
    <xf numFmtId="8" fontId="2" fillId="0" borderId="1" xfId="0" applyNumberFormat="1" applyFont="1" applyBorder="1" applyAlignment="1">
      <alignment horizontal="right" vertical="center" wrapText="1"/>
    </xf>
    <xf numFmtId="0" fontId="23" fillId="9" borderId="1" xfId="0" applyFont="1" applyFill="1" applyBorder="1" applyAlignment="1">
      <alignment vertical="center"/>
    </xf>
    <xf numFmtId="0" fontId="2" fillId="0" borderId="2" xfId="0" applyFont="1" applyBorder="1" applyAlignment="1">
      <alignment vertical="center" wrapText="1"/>
    </xf>
    <xf numFmtId="6" fontId="2" fillId="0" borderId="13" xfId="0" applyNumberFormat="1" applyFont="1" applyBorder="1" applyAlignment="1">
      <alignment horizontal="right" vertical="center" wrapText="1"/>
    </xf>
    <xf numFmtId="6" fontId="2" fillId="0" borderId="23" xfId="0" applyNumberFormat="1" applyFont="1" applyBorder="1" applyAlignment="1">
      <alignment horizontal="right" vertical="center" wrapText="1"/>
    </xf>
    <xf numFmtId="0" fontId="2" fillId="0" borderId="1" xfId="0" applyFont="1" applyBorder="1" applyAlignment="1">
      <alignment horizontal="left" vertical="center" wrapText="1"/>
    </xf>
    <xf numFmtId="0" fontId="2" fillId="0" borderId="1" xfId="0" applyFont="1" applyBorder="1" applyAlignment="1">
      <alignment vertical="top"/>
    </xf>
    <xf numFmtId="0" fontId="2" fillId="0" borderId="1" xfId="0" applyFont="1" applyBorder="1" applyAlignment="1">
      <alignment vertical="top" wrapText="1"/>
    </xf>
    <xf numFmtId="166" fontId="2" fillId="0" borderId="1" xfId="0" applyNumberFormat="1" applyFont="1" applyBorder="1"/>
    <xf numFmtId="0" fontId="2" fillId="0" borderId="1" xfId="0" applyFont="1" applyBorder="1" applyAlignment="1">
      <alignment vertical="center"/>
    </xf>
    <xf numFmtId="8" fontId="2" fillId="0" borderId="1" xfId="0" applyNumberFormat="1" applyFont="1" applyBorder="1" applyAlignment="1">
      <alignment horizontal="right" vertical="center"/>
    </xf>
    <xf numFmtId="0" fontId="2" fillId="0" borderId="1" xfId="0" applyFont="1" applyBorder="1" applyAlignment="1">
      <alignment horizontal="right" vertical="center"/>
    </xf>
    <xf numFmtId="0" fontId="0" fillId="0" borderId="2" xfId="0" applyBorder="1"/>
    <xf numFmtId="0" fontId="23" fillId="9" borderId="1" xfId="0" applyFont="1" applyFill="1" applyBorder="1" applyAlignment="1">
      <alignment horizontal="right" vertical="top" wrapText="1"/>
    </xf>
    <xf numFmtId="167" fontId="2" fillId="0" borderId="1" xfId="0" applyNumberFormat="1" applyFont="1" applyBorder="1" applyAlignment="1">
      <alignment horizontal="right" vertical="center" wrapText="1"/>
    </xf>
    <xf numFmtId="168" fontId="2" fillId="0" borderId="1" xfId="0" applyNumberFormat="1" applyFont="1" applyBorder="1" applyAlignment="1">
      <alignment horizontal="right" vertical="center" wrapText="1"/>
    </xf>
    <xf numFmtId="0" fontId="12" fillId="0" borderId="28" xfId="3" applyFill="1" applyBorder="1" applyAlignment="1" applyProtection="1"/>
    <xf numFmtId="0" fontId="14" fillId="0" borderId="9" xfId="5" applyBorder="1" applyProtection="1"/>
    <xf numFmtId="0" fontId="0" fillId="3" borderId="1" xfId="0" applyFill="1" applyBorder="1"/>
    <xf numFmtId="0" fontId="15" fillId="10" borderId="29" xfId="0" applyFont="1" applyFill="1" applyBorder="1"/>
    <xf numFmtId="0" fontId="15" fillId="10" borderId="30" xfId="0" applyFont="1" applyFill="1" applyBorder="1" applyAlignment="1">
      <alignment horizontal="left"/>
    </xf>
    <xf numFmtId="0" fontId="15" fillId="7" borderId="1" xfId="0" applyFont="1" applyFill="1" applyBorder="1" applyAlignment="1">
      <alignment horizontal="right"/>
    </xf>
    <xf numFmtId="0" fontId="15" fillId="11" borderId="1" xfId="0" applyFont="1" applyFill="1" applyBorder="1" applyAlignment="1">
      <alignment horizontal="center"/>
    </xf>
    <xf numFmtId="0" fontId="27" fillId="0" borderId="9" xfId="0" quotePrefix="1" applyFont="1" applyBorder="1" applyAlignment="1">
      <alignment vertical="top"/>
    </xf>
    <xf numFmtId="165" fontId="0" fillId="3" borderId="1" xfId="0" applyNumberFormat="1" applyFill="1" applyBorder="1"/>
    <xf numFmtId="0" fontId="15" fillId="10" borderId="1" xfId="0" applyFont="1" applyFill="1" applyBorder="1" applyAlignment="1">
      <alignment horizontal="center" vertical="center" wrapText="1"/>
    </xf>
    <xf numFmtId="0" fontId="16" fillId="7" borderId="1" xfId="0" applyFont="1" applyFill="1" applyBorder="1" applyAlignment="1">
      <alignment horizontal="right"/>
    </xf>
    <xf numFmtId="0" fontId="16" fillId="7" borderId="17" xfId="0" applyFont="1" applyFill="1" applyBorder="1" applyAlignment="1">
      <alignment horizontal="right"/>
    </xf>
    <xf numFmtId="0" fontId="16" fillId="7" borderId="22" xfId="0" applyFont="1" applyFill="1" applyBorder="1" applyAlignment="1">
      <alignment horizontal="right"/>
    </xf>
    <xf numFmtId="0" fontId="16" fillId="7" borderId="15" xfId="0" applyFont="1" applyFill="1" applyBorder="1" applyAlignment="1">
      <alignment horizontal="right"/>
    </xf>
    <xf numFmtId="0" fontId="16" fillId="7" borderId="15" xfId="0" applyFont="1" applyFill="1" applyBorder="1"/>
    <xf numFmtId="0" fontId="16" fillId="7" borderId="16" xfId="0" applyFont="1" applyFill="1" applyBorder="1"/>
    <xf numFmtId="0" fontId="16" fillId="7" borderId="16" xfId="0" applyFont="1" applyFill="1" applyBorder="1" applyAlignment="1">
      <alignment horizontal="right"/>
    </xf>
    <xf numFmtId="0" fontId="16" fillId="7" borderId="23" xfId="0" applyFont="1" applyFill="1" applyBorder="1" applyAlignment="1">
      <alignment horizontal="right"/>
    </xf>
    <xf numFmtId="0" fontId="16" fillId="7" borderId="15" xfId="0" applyFont="1" applyFill="1" applyBorder="1" applyAlignment="1">
      <alignment horizontal="left"/>
    </xf>
    <xf numFmtId="0" fontId="16" fillId="7" borderId="1" xfId="0" applyFont="1" applyFill="1" applyBorder="1" applyAlignment="1">
      <alignment vertical="top" wrapText="1"/>
    </xf>
    <xf numFmtId="0" fontId="16" fillId="7" borderId="1" xfId="0" applyFont="1" applyFill="1" applyBorder="1"/>
    <xf numFmtId="0" fontId="16" fillId="7" borderId="1" xfId="0" applyFont="1" applyFill="1" applyBorder="1" applyAlignment="1">
      <alignment wrapText="1"/>
    </xf>
    <xf numFmtId="9" fontId="9" fillId="2" borderId="1" xfId="0" applyNumberFormat="1" applyFont="1" applyFill="1" applyBorder="1"/>
    <xf numFmtId="6" fontId="9" fillId="2" borderId="1" xfId="0" applyNumberFormat="1" applyFont="1" applyFill="1" applyBorder="1"/>
    <xf numFmtId="1" fontId="0" fillId="3" borderId="3" xfId="0" applyNumberFormat="1" applyFill="1" applyBorder="1" applyAlignment="1">
      <alignment horizontal="right"/>
    </xf>
    <xf numFmtId="0" fontId="0" fillId="3" borderId="3" xfId="0" applyFill="1" applyBorder="1" applyAlignment="1">
      <alignment horizontal="right"/>
    </xf>
    <xf numFmtId="165" fontId="2" fillId="0" borderId="1" xfId="0" applyNumberFormat="1" applyFont="1" applyBorder="1"/>
    <xf numFmtId="164" fontId="2" fillId="0" borderId="1" xfId="0" applyNumberFormat="1" applyFont="1" applyBorder="1" applyAlignment="1">
      <alignment horizontal="right"/>
    </xf>
    <xf numFmtId="0" fontId="6" fillId="12" borderId="0" xfId="0" applyFont="1" applyFill="1"/>
    <xf numFmtId="0" fontId="0" fillId="4" borderId="13" xfId="0" applyFill="1" applyBorder="1" applyAlignment="1">
      <alignment vertical="top" wrapText="1"/>
    </xf>
    <xf numFmtId="165" fontId="0" fillId="4" borderId="13" xfId="0" applyNumberFormat="1" applyFill="1" applyBorder="1" applyAlignment="1">
      <alignment vertical="top" wrapText="1"/>
    </xf>
    <xf numFmtId="0" fontId="0" fillId="12" borderId="1" xfId="0" applyFill="1" applyBorder="1" applyAlignment="1">
      <alignment vertical="top" wrapText="1"/>
    </xf>
    <xf numFmtId="8" fontId="0" fillId="12" borderId="1" xfId="0" applyNumberFormat="1" applyFill="1" applyBorder="1" applyAlignment="1">
      <alignment vertical="top" wrapText="1"/>
    </xf>
    <xf numFmtId="6" fontId="0" fillId="4" borderId="1" xfId="0" applyNumberFormat="1" applyFill="1" applyBorder="1" applyAlignment="1">
      <alignment vertical="top" wrapText="1"/>
    </xf>
    <xf numFmtId="0" fontId="12" fillId="0" borderId="0" xfId="3" applyFill="1" applyBorder="1" applyAlignment="1" applyProtection="1"/>
    <xf numFmtId="0" fontId="14" fillId="0" borderId="0" xfId="5" applyBorder="1" applyProtection="1"/>
    <xf numFmtId="165" fontId="9" fillId="2" borderId="2" xfId="0" applyNumberFormat="1" applyFont="1" applyFill="1" applyBorder="1"/>
    <xf numFmtId="165" fontId="9" fillId="2" borderId="15" xfId="0" applyNumberFormat="1" applyFont="1" applyFill="1" applyBorder="1"/>
    <xf numFmtId="0" fontId="14" fillId="12" borderId="0" xfId="5" applyFill="1" applyBorder="1" applyProtection="1"/>
    <xf numFmtId="167" fontId="0" fillId="4" borderId="1" xfId="0" applyNumberFormat="1" applyFill="1" applyBorder="1" applyAlignment="1">
      <alignment vertical="top" wrapText="1"/>
    </xf>
    <xf numFmtId="164" fontId="0" fillId="4" borderId="1" xfId="0" applyNumberFormat="1" applyFill="1" applyBorder="1"/>
    <xf numFmtId="169" fontId="0" fillId="4" borderId="1" xfId="0" applyNumberFormat="1" applyFill="1" applyBorder="1"/>
    <xf numFmtId="166" fontId="0" fillId="4" borderId="1" xfId="0" applyNumberFormat="1" applyFill="1" applyBorder="1"/>
    <xf numFmtId="2" fontId="0" fillId="3" borderId="1" xfId="0" applyNumberFormat="1" applyFill="1" applyBorder="1"/>
    <xf numFmtId="0" fontId="14" fillId="4" borderId="9" xfId="5" applyFill="1" applyBorder="1" applyProtection="1"/>
    <xf numFmtId="0" fontId="0" fillId="4" borderId="9" xfId="0" applyFill="1" applyBorder="1"/>
    <xf numFmtId="0" fontId="0" fillId="4" borderId="10" xfId="0" applyFill="1" applyBorder="1"/>
    <xf numFmtId="0" fontId="0" fillId="4" borderId="11" xfId="0" applyFill="1" applyBorder="1"/>
    <xf numFmtId="0" fontId="0" fillId="4" borderId="19" xfId="0" applyFill="1" applyBorder="1"/>
    <xf numFmtId="0" fontId="0" fillId="4" borderId="12" xfId="0" applyFill="1" applyBorder="1"/>
    <xf numFmtId="0" fontId="0" fillId="13" borderId="31" xfId="8" applyFont="1"/>
    <xf numFmtId="0" fontId="0" fillId="13" borderId="31" xfId="8" applyFont="1" applyAlignment="1">
      <alignment vertical="top"/>
    </xf>
    <xf numFmtId="0" fontId="0" fillId="13" borderId="31" xfId="8" applyFont="1" applyAlignment="1"/>
    <xf numFmtId="0" fontId="0" fillId="13" borderId="31" xfId="8" applyFont="1" applyAlignment="1">
      <alignment wrapText="1"/>
    </xf>
    <xf numFmtId="0" fontId="9" fillId="2" borderId="1" xfId="0" applyFont="1" applyFill="1" applyBorder="1"/>
    <xf numFmtId="6" fontId="10" fillId="14" borderId="0" xfId="0" applyNumberFormat="1" applyFont="1" applyFill="1"/>
    <xf numFmtId="170" fontId="9" fillId="3" borderId="16" xfId="2" applyNumberFormat="1" applyFont="1" applyFill="1" applyBorder="1"/>
    <xf numFmtId="43" fontId="9" fillId="3" borderId="17" xfId="9" applyFont="1" applyFill="1" applyBorder="1"/>
    <xf numFmtId="0" fontId="16" fillId="7" borderId="20" xfId="0" applyFont="1" applyFill="1" applyBorder="1" applyAlignment="1">
      <alignment horizontal="right"/>
    </xf>
    <xf numFmtId="0" fontId="16" fillId="7" borderId="20" xfId="0" applyFont="1" applyFill="1" applyBorder="1" applyAlignment="1">
      <alignment horizontal="right" wrapText="1"/>
    </xf>
    <xf numFmtId="0" fontId="16" fillId="7" borderId="0" xfId="0" applyFont="1" applyFill="1" applyAlignment="1">
      <alignment horizontal="right" wrapText="1"/>
    </xf>
    <xf numFmtId="165" fontId="9" fillId="2" borderId="1" xfId="2" applyNumberFormat="1" applyFont="1" applyFill="1" applyBorder="1"/>
    <xf numFmtId="6" fontId="9" fillId="2" borderId="20" xfId="0" applyNumberFormat="1" applyFont="1" applyFill="1" applyBorder="1"/>
    <xf numFmtId="6" fontId="0" fillId="3" borderId="1" xfId="0" applyNumberFormat="1" applyFill="1" applyBorder="1"/>
    <xf numFmtId="0" fontId="19" fillId="5" borderId="4" xfId="0" applyFont="1" applyFill="1" applyBorder="1" applyAlignment="1">
      <alignment wrapText="1"/>
    </xf>
    <xf numFmtId="0" fontId="19" fillId="14" borderId="4" xfId="0" applyFont="1" applyFill="1" applyBorder="1" applyAlignment="1">
      <alignment wrapText="1"/>
    </xf>
    <xf numFmtId="0" fontId="19" fillId="3" borderId="4" xfId="0" applyFont="1" applyFill="1" applyBorder="1" applyAlignment="1">
      <alignment wrapText="1"/>
    </xf>
    <xf numFmtId="6" fontId="0" fillId="3" borderId="16" xfId="0" applyNumberFormat="1" applyFill="1" applyBorder="1"/>
    <xf numFmtId="6" fontId="10" fillId="14" borderId="16" xfId="0" applyNumberFormat="1" applyFont="1" applyFill="1" applyBorder="1"/>
    <xf numFmtId="6" fontId="0" fillId="3" borderId="17" xfId="0" applyNumberFormat="1" applyFill="1" applyBorder="1"/>
    <xf numFmtId="165" fontId="0" fillId="3" borderId="13" xfId="0" applyNumberFormat="1" applyFill="1" applyBorder="1"/>
    <xf numFmtId="0" fontId="0" fillId="3" borderId="23" xfId="0" applyFill="1" applyBorder="1"/>
    <xf numFmtId="14" fontId="0" fillId="3" borderId="6" xfId="0" applyNumberFormat="1" applyFill="1" applyBorder="1"/>
    <xf numFmtId="167" fontId="0" fillId="4" borderId="1" xfId="0" applyNumberFormat="1" applyFill="1" applyBorder="1" applyAlignment="1">
      <alignment horizontal="right" vertical="top" wrapText="1"/>
    </xf>
    <xf numFmtId="0" fontId="6" fillId="12" borderId="17" xfId="0" applyFont="1" applyFill="1" applyBorder="1"/>
    <xf numFmtId="0" fontId="23" fillId="0" borderId="3" xfId="0" applyFont="1" applyBorder="1" applyAlignment="1">
      <alignment vertical="center"/>
    </xf>
    <xf numFmtId="165" fontId="2" fillId="0" borderId="3" xfId="0" applyNumberFormat="1" applyFont="1" applyBorder="1"/>
    <xf numFmtId="164" fontId="2" fillId="0" borderId="3" xfId="0" applyNumberFormat="1" applyFont="1" applyBorder="1" applyAlignment="1">
      <alignment horizontal="right"/>
    </xf>
    <xf numFmtId="0" fontId="2" fillId="0" borderId="3" xfId="0" applyFont="1" applyBorder="1" applyAlignment="1">
      <alignment vertical="center" wrapText="1"/>
    </xf>
    <xf numFmtId="0" fontId="23" fillId="0" borderId="3" xfId="0" applyFont="1" applyBorder="1" applyAlignment="1">
      <alignment horizontal="right" vertical="center" wrapText="1"/>
    </xf>
    <xf numFmtId="6" fontId="2" fillId="0" borderId="3" xfId="0" applyNumberFormat="1" applyFont="1" applyBorder="1" applyAlignment="1">
      <alignment horizontal="right" vertical="center" wrapText="1"/>
    </xf>
    <xf numFmtId="0" fontId="2" fillId="0" borderId="3" xfId="0" applyFont="1" applyBorder="1" applyAlignment="1">
      <alignment vertical="top"/>
    </xf>
    <xf numFmtId="0" fontId="0" fillId="0" borderId="20" xfId="0" applyBorder="1"/>
    <xf numFmtId="0" fontId="23" fillId="0" borderId="21" xfId="0" applyFont="1" applyBorder="1" applyAlignment="1">
      <alignment vertical="center" wrapText="1"/>
    </xf>
    <xf numFmtId="0" fontId="23" fillId="0" borderId="21" xfId="0" applyFont="1" applyBorder="1" applyAlignment="1">
      <alignment horizontal="right" vertical="center" wrapText="1"/>
    </xf>
    <xf numFmtId="167" fontId="2" fillId="0" borderId="21" xfId="0" applyNumberFormat="1" applyFont="1" applyBorder="1" applyAlignment="1">
      <alignment horizontal="right" vertical="center" wrapText="1"/>
    </xf>
    <xf numFmtId="0" fontId="0" fillId="0" borderId="21" xfId="0" applyBorder="1"/>
    <xf numFmtId="0" fontId="2" fillId="0" borderId="21" xfId="0" applyFont="1" applyBorder="1" applyAlignment="1">
      <alignment vertical="top" wrapText="1"/>
    </xf>
    <xf numFmtId="0" fontId="2" fillId="0" borderId="21" xfId="0" applyFont="1" applyBorder="1" applyAlignment="1">
      <alignment vertical="center" wrapText="1"/>
    </xf>
    <xf numFmtId="0" fontId="2" fillId="0" borderId="2" xfId="0" applyFont="1" applyBorder="1"/>
    <xf numFmtId="0" fontId="2" fillId="0" borderId="23" xfId="0" applyFont="1" applyBorder="1"/>
    <xf numFmtId="0" fontId="16" fillId="4" borderId="3" xfId="0" applyFont="1" applyFill="1" applyBorder="1" applyAlignment="1">
      <alignment vertical="top" wrapText="1"/>
    </xf>
    <xf numFmtId="8" fontId="0" fillId="4" borderId="3" xfId="0" applyNumberFormat="1" applyFill="1" applyBorder="1" applyAlignment="1">
      <alignment vertical="top" wrapText="1"/>
    </xf>
    <xf numFmtId="167" fontId="0" fillId="4" borderId="3" xfId="0" applyNumberFormat="1" applyFill="1" applyBorder="1" applyAlignment="1">
      <alignment vertical="top" wrapText="1"/>
    </xf>
    <xf numFmtId="6" fontId="0" fillId="4" borderId="3" xfId="0" applyNumberFormat="1" applyFill="1" applyBorder="1" applyAlignment="1">
      <alignment vertical="top" wrapText="1"/>
    </xf>
    <xf numFmtId="165" fontId="9" fillId="15" borderId="2" xfId="0" applyNumberFormat="1" applyFont="1" applyFill="1" applyBorder="1"/>
    <xf numFmtId="165" fontId="9" fillId="15" borderId="3" xfId="0" applyNumberFormat="1" applyFont="1" applyFill="1" applyBorder="1"/>
    <xf numFmtId="165" fontId="9" fillId="2" borderId="3" xfId="0" applyNumberFormat="1" applyFont="1" applyFill="1" applyBorder="1"/>
    <xf numFmtId="165" fontId="9" fillId="2" borderId="5" xfId="0" applyNumberFormat="1" applyFont="1" applyFill="1" applyBorder="1"/>
    <xf numFmtId="165" fontId="9" fillId="15" borderId="13" xfId="0" applyNumberFormat="1" applyFont="1" applyFill="1" applyBorder="1"/>
    <xf numFmtId="165" fontId="9" fillId="15" borderId="0" xfId="0" applyNumberFormat="1" applyFont="1" applyFill="1"/>
    <xf numFmtId="165" fontId="9" fillId="2" borderId="0" xfId="0" applyNumberFormat="1" applyFont="1" applyFill="1"/>
    <xf numFmtId="165" fontId="9" fillId="2" borderId="14" xfId="0" applyNumberFormat="1" applyFont="1" applyFill="1" applyBorder="1"/>
    <xf numFmtId="1" fontId="9" fillId="15" borderId="2" xfId="0" applyNumberFormat="1" applyFont="1" applyFill="1" applyBorder="1"/>
    <xf numFmtId="1" fontId="9" fillId="15" borderId="23" xfId="0" applyNumberFormat="1" applyFont="1" applyFill="1" applyBorder="1"/>
    <xf numFmtId="1" fontId="9" fillId="15" borderId="3" xfId="0" applyNumberFormat="1" applyFont="1" applyFill="1" applyBorder="1"/>
    <xf numFmtId="1" fontId="9" fillId="15" borderId="4" xfId="0" applyNumberFormat="1" applyFont="1" applyFill="1" applyBorder="1"/>
    <xf numFmtId="1" fontId="9" fillId="15" borderId="5" xfId="0" applyNumberFormat="1" applyFont="1" applyFill="1" applyBorder="1"/>
    <xf numFmtId="1" fontId="9" fillId="15" borderId="6" xfId="0" applyNumberFormat="1" applyFont="1" applyFill="1" applyBorder="1"/>
    <xf numFmtId="165" fontId="0" fillId="3" borderId="2" xfId="0" applyNumberFormat="1" applyFill="1" applyBorder="1"/>
    <xf numFmtId="165" fontId="0" fillId="3" borderId="20" xfId="0" applyNumberFormat="1" applyFill="1" applyBorder="1"/>
    <xf numFmtId="165" fontId="0" fillId="3" borderId="21" xfId="0" applyNumberFormat="1" applyFill="1" applyBorder="1"/>
    <xf numFmtId="165" fontId="0" fillId="3" borderId="22" xfId="0" applyNumberFormat="1" applyFill="1" applyBorder="1"/>
    <xf numFmtId="0" fontId="16" fillId="4" borderId="3" xfId="0" applyFont="1" applyFill="1" applyBorder="1" applyAlignment="1">
      <alignment horizontal="right"/>
    </xf>
    <xf numFmtId="6" fontId="0" fillId="4" borderId="3" xfId="0" applyNumberFormat="1" applyFill="1" applyBorder="1"/>
    <xf numFmtId="3" fontId="0" fillId="0" borderId="0" xfId="0" applyNumberFormat="1"/>
    <xf numFmtId="0" fontId="32" fillId="0" borderId="32" xfId="0" applyFont="1" applyBorder="1" applyAlignment="1">
      <alignment horizontal="center"/>
    </xf>
    <xf numFmtId="0" fontId="31" fillId="0" borderId="0" xfId="0" applyFont="1"/>
    <xf numFmtId="0" fontId="0" fillId="0" borderId="0" xfId="0" applyAlignment="1">
      <alignment horizontal="left" indent="2"/>
    </xf>
    <xf numFmtId="0" fontId="16" fillId="16" borderId="0" xfId="0" applyFont="1" applyFill="1" applyAlignment="1">
      <alignment horizontal="center"/>
    </xf>
    <xf numFmtId="0" fontId="16" fillId="17" borderId="0" xfId="0" applyFont="1" applyFill="1" applyAlignment="1">
      <alignment horizontal="center"/>
    </xf>
    <xf numFmtId="0" fontId="31" fillId="0" borderId="33" xfId="0" applyFont="1" applyBorder="1"/>
    <xf numFmtId="165" fontId="0" fillId="0" borderId="0" xfId="0" applyNumberFormat="1" applyAlignment="1">
      <alignment horizontal="center"/>
    </xf>
    <xf numFmtId="165" fontId="0" fillId="0" borderId="32" xfId="0" applyNumberFormat="1" applyBorder="1" applyAlignment="1">
      <alignment horizontal="center"/>
    </xf>
    <xf numFmtId="0" fontId="32" fillId="0" borderId="36" xfId="0" applyFont="1" applyBorder="1" applyAlignment="1">
      <alignment horizontal="center"/>
    </xf>
    <xf numFmtId="0" fontId="0" fillId="0" borderId="0" xfId="0" applyAlignment="1">
      <alignment horizontal="center"/>
    </xf>
    <xf numFmtId="0" fontId="31" fillId="0" borderId="0" xfId="0" applyFont="1" applyAlignment="1">
      <alignment horizontal="left"/>
    </xf>
    <xf numFmtId="3" fontId="0" fillId="0" borderId="0" xfId="0" applyNumberFormat="1" applyAlignment="1">
      <alignment horizontal="center"/>
    </xf>
    <xf numFmtId="3" fontId="32" fillId="0" borderId="32" xfId="0" applyNumberFormat="1" applyFont="1" applyBorder="1" applyAlignment="1">
      <alignment horizontal="center"/>
    </xf>
    <xf numFmtId="0" fontId="16" fillId="0" borderId="0" xfId="0" applyFont="1" applyAlignment="1">
      <alignment horizontal="center"/>
    </xf>
    <xf numFmtId="171" fontId="32" fillId="0" borderId="0" xfId="0" applyNumberFormat="1" applyFont="1" applyAlignment="1">
      <alignment horizontal="center"/>
    </xf>
    <xf numFmtId="171" fontId="32" fillId="0" borderId="32" xfId="0" applyNumberFormat="1" applyFont="1" applyBorder="1" applyAlignment="1">
      <alignment horizontal="center"/>
    </xf>
    <xf numFmtId="0" fontId="0" fillId="0" borderId="0" xfId="0" applyAlignment="1">
      <alignment vertical="center"/>
    </xf>
    <xf numFmtId="0" fontId="0" fillId="0" borderId="14" xfId="0" applyBorder="1" applyAlignment="1">
      <alignment vertical="center"/>
    </xf>
    <xf numFmtId="0" fontId="0" fillId="0" borderId="4" xfId="0" applyBorder="1" applyAlignment="1">
      <alignment vertical="center"/>
    </xf>
    <xf numFmtId="0" fontId="0" fillId="0" borderId="3" xfId="0" applyBorder="1" applyAlignment="1">
      <alignment vertical="center"/>
    </xf>
    <xf numFmtId="0" fontId="0" fillId="0" borderId="0" xfId="0" applyAlignment="1">
      <alignment horizontal="left" vertical="center"/>
    </xf>
    <xf numFmtId="0" fontId="0" fillId="0" borderId="4" xfId="0" applyBorder="1" applyAlignment="1">
      <alignment vertical="center" wrapText="1"/>
    </xf>
    <xf numFmtId="0" fontId="15" fillId="18" borderId="0" xfId="0" applyFont="1" applyFill="1" applyAlignment="1">
      <alignment vertical="center"/>
    </xf>
    <xf numFmtId="0" fontId="15" fillId="17" borderId="23" xfId="0" applyFont="1" applyFill="1" applyBorder="1" applyAlignment="1">
      <alignment vertical="center"/>
    </xf>
    <xf numFmtId="0" fontId="15" fillId="17" borderId="2" xfId="0" applyFont="1" applyFill="1" applyBorder="1" applyAlignment="1">
      <alignment vertical="center"/>
    </xf>
    <xf numFmtId="0" fontId="0" fillId="0" borderId="0" xfId="0" applyAlignment="1">
      <alignment vertical="center" wrapText="1"/>
    </xf>
    <xf numFmtId="0" fontId="34" fillId="0" borderId="16" xfId="0" applyFont="1" applyBorder="1" applyAlignment="1">
      <alignment horizontal="center" vertical="center"/>
    </xf>
    <xf numFmtId="0" fontId="35" fillId="20" borderId="16" xfId="0" applyFont="1" applyFill="1" applyBorder="1" applyAlignment="1">
      <alignment horizontal="center" vertical="center" wrapText="1"/>
    </xf>
    <xf numFmtId="0" fontId="35" fillId="21" borderId="16" xfId="0" applyFont="1" applyFill="1" applyBorder="1" applyAlignment="1">
      <alignment horizontal="center" vertical="center" wrapText="1"/>
    </xf>
    <xf numFmtId="0" fontId="35" fillId="22" borderId="16" xfId="0" applyFont="1" applyFill="1" applyBorder="1" applyAlignment="1">
      <alignment horizontal="center" vertical="center" wrapText="1"/>
    </xf>
    <xf numFmtId="0" fontId="36" fillId="23" borderId="16" xfId="0" applyFont="1" applyFill="1" applyBorder="1" applyAlignment="1">
      <alignment horizontal="center" vertical="center" wrapText="1"/>
    </xf>
    <xf numFmtId="0" fontId="34" fillId="19" borderId="16" xfId="0" applyFont="1" applyFill="1" applyBorder="1" applyAlignment="1">
      <alignment horizontal="center" vertical="center" wrapText="1"/>
    </xf>
    <xf numFmtId="0" fontId="0" fillId="0" borderId="0" xfId="0" applyAlignment="1">
      <alignment horizontal="right"/>
    </xf>
    <xf numFmtId="170" fontId="0" fillId="0" borderId="0" xfId="2" applyNumberFormat="1" applyFont="1" applyFill="1" applyAlignment="1">
      <alignment horizontal="right"/>
    </xf>
    <xf numFmtId="170" fontId="0" fillId="19" borderId="0" xfId="0" applyNumberFormat="1" applyFill="1"/>
    <xf numFmtId="170" fontId="0" fillId="0" borderId="0" xfId="0" applyNumberFormat="1"/>
    <xf numFmtId="0" fontId="31" fillId="19" borderId="16" xfId="0" applyFont="1" applyFill="1" applyBorder="1" applyAlignment="1">
      <alignment horizontal="right"/>
    </xf>
    <xf numFmtId="170" fontId="0" fillId="19" borderId="16" xfId="0" applyNumberFormat="1" applyFill="1" applyBorder="1"/>
    <xf numFmtId="0" fontId="31" fillId="0" borderId="13" xfId="0" applyFont="1" applyBorder="1" applyAlignment="1">
      <alignment horizontal="right"/>
    </xf>
    <xf numFmtId="170" fontId="0" fillId="0" borderId="13" xfId="0" applyNumberFormat="1" applyBorder="1"/>
    <xf numFmtId="170" fontId="11" fillId="0" borderId="13" xfId="2" applyNumberFormat="1" applyFont="1" applyFill="1" applyBorder="1" applyAlignment="1">
      <alignment horizontal="right"/>
    </xf>
    <xf numFmtId="170" fontId="11" fillId="0" borderId="0" xfId="2" applyNumberFormat="1" applyFont="1" applyFill="1" applyBorder="1"/>
    <xf numFmtId="170" fontId="31" fillId="0" borderId="0" xfId="2" applyNumberFormat="1" applyFont="1" applyFill="1" applyBorder="1"/>
    <xf numFmtId="170" fontId="0" fillId="0" borderId="0" xfId="0" applyNumberFormat="1" applyAlignment="1">
      <alignment vertical="center" wrapText="1"/>
    </xf>
    <xf numFmtId="0" fontId="31" fillId="0" borderId="0" xfId="0" applyFont="1" applyAlignment="1">
      <alignment wrapText="1"/>
    </xf>
    <xf numFmtId="0" fontId="31" fillId="0" borderId="16" xfId="0" applyFont="1" applyBorder="1" applyAlignment="1">
      <alignment horizontal="center"/>
    </xf>
    <xf numFmtId="0" fontId="31" fillId="19" borderId="16" xfId="0" applyFont="1" applyFill="1" applyBorder="1" applyAlignment="1">
      <alignment horizontal="center"/>
    </xf>
    <xf numFmtId="9" fontId="0" fillId="0" borderId="0" xfId="10" applyFont="1" applyFill="1" applyBorder="1" applyAlignment="1">
      <alignment horizontal="right"/>
    </xf>
    <xf numFmtId="171" fontId="37" fillId="0" borderId="0" xfId="10" applyNumberFormat="1" applyFont="1" applyFill="1" applyBorder="1" applyAlignment="1">
      <alignment horizontal="right"/>
    </xf>
    <xf numFmtId="0" fontId="38" fillId="0" borderId="0" xfId="0" applyFont="1"/>
    <xf numFmtId="9" fontId="31" fillId="0" borderId="0" xfId="10" applyFont="1" applyFill="1" applyBorder="1" applyAlignment="1">
      <alignment horizontal="right"/>
    </xf>
    <xf numFmtId="0" fontId="31" fillId="0" borderId="0" xfId="0" applyFont="1" applyAlignment="1">
      <alignment horizontal="right"/>
    </xf>
    <xf numFmtId="0" fontId="31" fillId="0" borderId="16" xfId="0" applyFont="1" applyBorder="1" applyAlignment="1">
      <alignment horizontal="center" vertical="center"/>
    </xf>
    <xf numFmtId="170" fontId="31" fillId="0" borderId="16" xfId="0" applyNumberFormat="1" applyFont="1" applyBorder="1" applyAlignment="1">
      <alignment horizontal="center" vertical="center" wrapText="1"/>
    </xf>
    <xf numFmtId="170" fontId="0" fillId="0" borderId="0" xfId="0" applyNumberFormat="1" applyAlignment="1">
      <alignment horizontal="center"/>
    </xf>
    <xf numFmtId="0" fontId="0" fillId="0" borderId="14" xfId="0" applyBorder="1" applyAlignment="1">
      <alignment horizontal="right"/>
    </xf>
    <xf numFmtId="170" fontId="0" fillId="0" borderId="14" xfId="0" applyNumberFormat="1" applyBorder="1" applyAlignment="1">
      <alignment horizontal="center"/>
    </xf>
    <xf numFmtId="170" fontId="0" fillId="0" borderId="14" xfId="0" applyNumberFormat="1" applyBorder="1"/>
    <xf numFmtId="0" fontId="31" fillId="0" borderId="17" xfId="0" applyFont="1" applyBorder="1" applyAlignment="1">
      <alignment horizontal="center" vertical="center"/>
    </xf>
    <xf numFmtId="0" fontId="31" fillId="0" borderId="15" xfId="0" applyFont="1" applyBorder="1" applyAlignment="1">
      <alignment horizontal="center" vertical="center" wrapText="1"/>
    </xf>
    <xf numFmtId="44" fontId="0" fillId="0" borderId="0" xfId="2" applyFont="1" applyBorder="1"/>
    <xf numFmtId="0" fontId="31" fillId="0" borderId="0" xfId="0" applyFont="1" applyAlignment="1">
      <alignment horizontal="center" wrapText="1"/>
    </xf>
    <xf numFmtId="0" fontId="31" fillId="0" borderId="0" xfId="0" applyFont="1" applyAlignment="1">
      <alignment horizontal="center" vertical="center" wrapText="1"/>
    </xf>
    <xf numFmtId="0" fontId="0" fillId="0" borderId="17" xfId="0" applyBorder="1" applyAlignment="1">
      <alignment horizontal="left" wrapText="1"/>
    </xf>
    <xf numFmtId="170" fontId="0" fillId="0" borderId="15" xfId="2" applyNumberFormat="1" applyFont="1" applyFill="1" applyBorder="1"/>
    <xf numFmtId="0" fontId="35" fillId="0" borderId="0" xfId="0" applyFont="1"/>
    <xf numFmtId="0" fontId="0" fillId="0" borderId="0" xfId="0" applyAlignment="1">
      <alignment horizontal="left"/>
    </xf>
    <xf numFmtId="170" fontId="0" fillId="0" borderId="0" xfId="2" applyNumberFormat="1" applyFont="1" applyFill="1" applyBorder="1" applyAlignment="1"/>
    <xf numFmtId="171" fontId="0" fillId="0" borderId="0" xfId="10" applyNumberFormat="1" applyFont="1" applyFill="1" applyBorder="1"/>
    <xf numFmtId="0" fontId="31" fillId="19" borderId="17" xfId="0" applyFont="1" applyFill="1" applyBorder="1" applyAlignment="1">
      <alignment horizontal="right"/>
    </xf>
    <xf numFmtId="170" fontId="0" fillId="19" borderId="15" xfId="0" applyNumberFormat="1" applyFill="1" applyBorder="1"/>
    <xf numFmtId="170" fontId="0" fillId="0" borderId="0" xfId="2" applyNumberFormat="1" applyFont="1" applyFill="1" applyBorder="1"/>
    <xf numFmtId="171" fontId="0" fillId="0" borderId="0" xfId="10" applyNumberFormat="1" applyFont="1"/>
    <xf numFmtId="9" fontId="0" fillId="0" borderId="0" xfId="10" applyFont="1" applyFill="1" applyBorder="1"/>
    <xf numFmtId="170" fontId="0" fillId="0" borderId="0" xfId="2" applyNumberFormat="1" applyFont="1"/>
    <xf numFmtId="0" fontId="31" fillId="0" borderId="15" xfId="0" applyFont="1" applyBorder="1" applyAlignment="1">
      <alignment horizontal="center" wrapText="1"/>
    </xf>
    <xf numFmtId="0" fontId="0" fillId="0" borderId="16" xfId="0" applyBorder="1" applyAlignment="1">
      <alignment horizontal="center" wrapText="1"/>
    </xf>
    <xf numFmtId="170" fontId="0" fillId="0" borderId="15" xfId="2" applyNumberFormat="1" applyFont="1" applyFill="1" applyBorder="1" applyAlignment="1"/>
    <xf numFmtId="1" fontId="0" fillId="0" borderId="0" xfId="0" applyNumberFormat="1"/>
    <xf numFmtId="170" fontId="0" fillId="19" borderId="5" xfId="0" applyNumberFormat="1" applyFill="1" applyBorder="1"/>
    <xf numFmtId="170" fontId="9" fillId="2" borderId="2" xfId="0" applyNumberFormat="1" applyFont="1" applyFill="1" applyBorder="1"/>
    <xf numFmtId="0" fontId="39" fillId="24" borderId="37" xfId="11">
      <alignment horizontal="left"/>
    </xf>
    <xf numFmtId="172" fontId="0" fillId="0" borderId="0" xfId="0" applyNumberFormat="1"/>
    <xf numFmtId="0" fontId="0" fillId="0" borderId="0" xfId="0" applyAlignment="1">
      <alignment horizontal="left" indent="1"/>
    </xf>
    <xf numFmtId="0" fontId="0" fillId="0" borderId="14" xfId="0" applyBorder="1"/>
    <xf numFmtId="0" fontId="15" fillId="18" borderId="2" xfId="0" applyFont="1" applyFill="1" applyBorder="1"/>
    <xf numFmtId="0" fontId="31" fillId="19" borderId="16" xfId="0" applyFont="1" applyFill="1" applyBorder="1" applyAlignment="1">
      <alignment horizontal="left"/>
    </xf>
    <xf numFmtId="0" fontId="15" fillId="17" borderId="2" xfId="0" applyFont="1" applyFill="1" applyBorder="1"/>
    <xf numFmtId="0" fontId="16" fillId="17" borderId="13" xfId="0" applyFont="1" applyFill="1" applyBorder="1"/>
    <xf numFmtId="0" fontId="16" fillId="17" borderId="23" xfId="0" applyFont="1" applyFill="1" applyBorder="1"/>
    <xf numFmtId="2" fontId="15" fillId="18" borderId="23" xfId="0" applyNumberFormat="1" applyFont="1" applyFill="1" applyBorder="1" applyAlignment="1">
      <alignment horizontal="centerContinuous"/>
    </xf>
    <xf numFmtId="2" fontId="15" fillId="18" borderId="2" xfId="0" applyNumberFormat="1" applyFont="1" applyFill="1" applyBorder="1" applyAlignment="1">
      <alignment horizontal="centerContinuous"/>
    </xf>
    <xf numFmtId="165" fontId="0" fillId="0" borderId="4" xfId="0" applyNumberFormat="1" applyBorder="1" applyAlignment="1">
      <alignment horizontal="left" vertical="center"/>
    </xf>
    <xf numFmtId="0" fontId="31" fillId="3" borderId="15" xfId="0" applyFont="1" applyFill="1" applyBorder="1" applyAlignment="1">
      <alignment vertical="center"/>
    </xf>
    <xf numFmtId="0" fontId="0" fillId="4" borderId="0" xfId="0" applyFill="1" applyAlignment="1">
      <alignment vertical="center"/>
    </xf>
    <xf numFmtId="0" fontId="31" fillId="25" borderId="3" xfId="0" applyFont="1" applyFill="1" applyBorder="1" applyAlignment="1">
      <alignment vertical="center"/>
    </xf>
    <xf numFmtId="0" fontId="31" fillId="25" borderId="3" xfId="0" applyFont="1" applyFill="1" applyBorder="1" applyAlignment="1">
      <alignment vertical="center" wrapText="1"/>
    </xf>
    <xf numFmtId="0" fontId="31" fillId="25" borderId="4" xfId="0" applyFont="1" applyFill="1" applyBorder="1" applyAlignment="1">
      <alignment vertical="center" wrapText="1"/>
    </xf>
    <xf numFmtId="165" fontId="31" fillId="3" borderId="17" xfId="0" applyNumberFormat="1" applyFont="1" applyFill="1" applyBorder="1" applyAlignment="1">
      <alignment horizontal="left" vertical="center"/>
    </xf>
    <xf numFmtId="0" fontId="0" fillId="0" borderId="3" xfId="0" applyBorder="1" applyAlignment="1">
      <alignment horizontal="left"/>
    </xf>
    <xf numFmtId="0" fontId="0" fillId="0" borderId="1" xfId="0" pivotButton="1" applyBorder="1"/>
    <xf numFmtId="0" fontId="0" fillId="0" borderId="1" xfId="0" applyBorder="1" applyAlignment="1">
      <alignment horizontal="left"/>
    </xf>
    <xf numFmtId="0" fontId="0" fillId="0" borderId="20" xfId="0" applyBorder="1" applyAlignment="1">
      <alignment horizontal="left" indent="1"/>
    </xf>
    <xf numFmtId="0" fontId="0" fillId="0" borderId="21" xfId="0" applyBorder="1" applyAlignment="1">
      <alignment horizontal="left" indent="1"/>
    </xf>
    <xf numFmtId="0" fontId="0" fillId="0" borderId="22" xfId="0" applyBorder="1" applyAlignment="1">
      <alignment horizontal="left" indent="1"/>
    </xf>
    <xf numFmtId="0" fontId="0" fillId="0" borderId="15" xfId="0" applyBorder="1"/>
    <xf numFmtId="0" fontId="0" fillId="0" borderId="16" xfId="0" applyBorder="1"/>
    <xf numFmtId="0" fontId="0" fillId="0" borderId="17" xfId="0" applyBorder="1"/>
    <xf numFmtId="0" fontId="31" fillId="12" borderId="15" xfId="0" applyFont="1" applyFill="1" applyBorder="1"/>
    <xf numFmtId="3" fontId="31" fillId="12" borderId="16" xfId="0" applyNumberFormat="1" applyFont="1" applyFill="1" applyBorder="1" applyAlignment="1">
      <alignment horizontal="left"/>
    </xf>
    <xf numFmtId="3" fontId="31" fillId="12" borderId="17" xfId="0" applyNumberFormat="1" applyFont="1" applyFill="1" applyBorder="1" applyAlignment="1">
      <alignment horizontal="left"/>
    </xf>
    <xf numFmtId="0" fontId="0" fillId="0" borderId="22" xfId="0" applyBorder="1" applyAlignment="1">
      <alignment horizontal="left"/>
    </xf>
    <xf numFmtId="173" fontId="40" fillId="0" borderId="3" xfId="0" applyNumberFormat="1" applyFont="1" applyBorder="1" applyAlignment="1">
      <alignment horizontal="left" vertical="center"/>
    </xf>
    <xf numFmtId="0" fontId="31" fillId="12" borderId="13" xfId="0" applyFont="1" applyFill="1" applyBorder="1"/>
    <xf numFmtId="2" fontId="31" fillId="12" borderId="13" xfId="0" applyNumberFormat="1" applyFont="1" applyFill="1" applyBorder="1" applyAlignment="1">
      <alignment horizontal="left"/>
    </xf>
    <xf numFmtId="2" fontId="31" fillId="12" borderId="23" xfId="0" applyNumberFormat="1" applyFont="1" applyFill="1" applyBorder="1" applyAlignment="1">
      <alignment horizontal="left"/>
    </xf>
    <xf numFmtId="0" fontId="31" fillId="12" borderId="16" xfId="0" applyFont="1" applyFill="1" applyBorder="1"/>
    <xf numFmtId="0" fontId="31" fillId="25" borderId="20" xfId="0" applyFont="1" applyFill="1" applyBorder="1" applyAlignment="1">
      <alignment vertical="center"/>
    </xf>
    <xf numFmtId="0" fontId="31" fillId="25" borderId="21" xfId="0" applyFont="1" applyFill="1" applyBorder="1" applyAlignment="1">
      <alignment vertical="center"/>
    </xf>
    <xf numFmtId="0" fontId="31" fillId="3" borderId="1" xfId="0" applyFont="1" applyFill="1" applyBorder="1" applyAlignment="1">
      <alignment vertical="center"/>
    </xf>
    <xf numFmtId="0" fontId="0" fillId="4" borderId="14" xfId="0" applyFill="1" applyBorder="1"/>
    <xf numFmtId="1" fontId="0" fillId="0" borderId="3" xfId="0" applyNumberFormat="1" applyBorder="1" applyAlignment="1">
      <alignment horizontal="left" vertical="center"/>
    </xf>
    <xf numFmtId="0" fontId="31" fillId="25" borderId="3" xfId="0" applyFont="1" applyFill="1" applyBorder="1" applyAlignment="1">
      <alignment horizontal="left" vertical="center" wrapText="1"/>
    </xf>
    <xf numFmtId="0" fontId="42" fillId="0" borderId="0" xfId="0" applyFont="1" applyAlignment="1">
      <alignment vertical="center"/>
    </xf>
    <xf numFmtId="3" fontId="42" fillId="0" borderId="0" xfId="0" applyNumberFormat="1" applyFont="1" applyAlignment="1">
      <alignment horizontal="left" vertical="center"/>
    </xf>
    <xf numFmtId="3" fontId="31" fillId="3" borderId="16" xfId="0" applyNumberFormat="1" applyFont="1" applyFill="1" applyBorder="1" applyAlignment="1">
      <alignment horizontal="left" vertical="center"/>
    </xf>
    <xf numFmtId="165" fontId="31" fillId="3" borderId="23" xfId="0" applyNumberFormat="1" applyFont="1" applyFill="1" applyBorder="1" applyAlignment="1">
      <alignment horizontal="left" vertical="center"/>
    </xf>
    <xf numFmtId="0" fontId="0" fillId="4" borderId="13" xfId="0" applyFill="1" applyBorder="1" applyAlignment="1">
      <alignment vertical="center"/>
    </xf>
    <xf numFmtId="0" fontId="15" fillId="26" borderId="2" xfId="0" applyFont="1" applyFill="1" applyBorder="1" applyAlignment="1">
      <alignment horizontal="centerContinuous"/>
    </xf>
    <xf numFmtId="0" fontId="15" fillId="26" borderId="23" xfId="0" applyFont="1" applyFill="1" applyBorder="1" applyAlignment="1">
      <alignment horizontal="centerContinuous"/>
    </xf>
    <xf numFmtId="0" fontId="33" fillId="4" borderId="0" xfId="0" applyFont="1" applyFill="1"/>
    <xf numFmtId="173" fontId="41" fillId="0" borderId="3" xfId="0" applyNumberFormat="1" applyFont="1" applyBorder="1" applyAlignment="1">
      <alignment horizontal="left" vertical="center"/>
    </xf>
    <xf numFmtId="173" fontId="31" fillId="3" borderId="2" xfId="0" applyNumberFormat="1" applyFont="1" applyFill="1" applyBorder="1" applyAlignment="1">
      <alignment horizontal="left" vertical="center"/>
    </xf>
    <xf numFmtId="173" fontId="0" fillId="0" borderId="3" xfId="0" applyNumberFormat="1" applyBorder="1" applyAlignment="1">
      <alignment horizontal="left" vertical="center"/>
    </xf>
    <xf numFmtId="173" fontId="31" fillId="3" borderId="15" xfId="0" applyNumberFormat="1" applyFont="1" applyFill="1" applyBorder="1" applyAlignment="1">
      <alignment horizontal="left" vertical="center"/>
    </xf>
    <xf numFmtId="0" fontId="1" fillId="0" borderId="0" xfId="1"/>
    <xf numFmtId="0" fontId="0" fillId="0" borderId="6" xfId="0" applyBorder="1"/>
    <xf numFmtId="0" fontId="10" fillId="0" borderId="0" xfId="0" applyFont="1"/>
    <xf numFmtId="0" fontId="42" fillId="0" borderId="0" xfId="0" applyFont="1"/>
    <xf numFmtId="0" fontId="44" fillId="0" borderId="0" xfId="0" applyFont="1"/>
    <xf numFmtId="3" fontId="9" fillId="5" borderId="1" xfId="0" applyNumberFormat="1" applyFont="1" applyFill="1" applyBorder="1"/>
    <xf numFmtId="0" fontId="10" fillId="0" borderId="9" xfId="0" applyFont="1" applyBorder="1" applyAlignment="1">
      <alignment horizontal="left" indent="1"/>
    </xf>
    <xf numFmtId="0" fontId="15" fillId="17" borderId="2" xfId="0" applyFont="1" applyFill="1" applyBorder="1" applyAlignment="1">
      <alignment vertical="center" wrapText="1"/>
    </xf>
    <xf numFmtId="174" fontId="45" fillId="0" borderId="0" xfId="0" applyNumberFormat="1" applyFont="1" applyAlignment="1">
      <alignment horizontal="left" vertical="center" indent="2"/>
    </xf>
    <xf numFmtId="165" fontId="0" fillId="0" borderId="0" xfId="0" applyNumberFormat="1" applyAlignment="1">
      <alignment horizontal="left"/>
    </xf>
    <xf numFmtId="165" fontId="31" fillId="12" borderId="13" xfId="0" applyNumberFormat="1" applyFont="1" applyFill="1" applyBorder="1" applyAlignment="1">
      <alignment horizontal="left"/>
    </xf>
    <xf numFmtId="0" fontId="15" fillId="17" borderId="20" xfId="0" applyFont="1" applyFill="1" applyBorder="1" applyAlignment="1">
      <alignment vertical="center" wrapText="1"/>
    </xf>
    <xf numFmtId="0" fontId="15" fillId="18" borderId="3" xfId="0" applyFont="1" applyFill="1" applyBorder="1" applyAlignment="1">
      <alignment horizontal="left" indent="1"/>
    </xf>
    <xf numFmtId="0" fontId="15" fillId="18" borderId="0" xfId="0" applyFont="1" applyFill="1" applyAlignment="1">
      <alignment horizontal="left" indent="1"/>
    </xf>
    <xf numFmtId="0" fontId="15" fillId="18" borderId="4" xfId="0" applyFont="1" applyFill="1" applyBorder="1" applyAlignment="1">
      <alignment horizontal="left" indent="1"/>
    </xf>
    <xf numFmtId="174" fontId="45" fillId="0" borderId="3" xfId="0" applyNumberFormat="1" applyFont="1" applyBorder="1" applyAlignment="1">
      <alignment horizontal="left" vertical="center" indent="2"/>
    </xf>
    <xf numFmtId="174" fontId="46" fillId="12" borderId="2" xfId="0" applyNumberFormat="1" applyFont="1" applyFill="1" applyBorder="1" applyAlignment="1">
      <alignment horizontal="left" vertical="center" indent="2"/>
    </xf>
    <xf numFmtId="0" fontId="31" fillId="12" borderId="23" xfId="0" applyFont="1" applyFill="1" applyBorder="1"/>
    <xf numFmtId="174" fontId="46" fillId="12" borderId="15" xfId="0" applyNumberFormat="1" applyFont="1" applyFill="1" applyBorder="1" applyAlignment="1">
      <alignment horizontal="left" vertical="center" indent="2"/>
    </xf>
    <xf numFmtId="165" fontId="31" fillId="12" borderId="16" xfId="0" applyNumberFormat="1" applyFont="1" applyFill="1" applyBorder="1" applyAlignment="1">
      <alignment horizontal="left"/>
    </xf>
    <xf numFmtId="0" fontId="31" fillId="12" borderId="17" xfId="0" applyFont="1" applyFill="1" applyBorder="1"/>
    <xf numFmtId="3" fontId="47" fillId="0" borderId="38" xfId="0" applyNumberFormat="1" applyFont="1" applyBorder="1" applyAlignment="1">
      <alignment horizontal="center"/>
    </xf>
    <xf numFmtId="4" fontId="47" fillId="0" borderId="40" xfId="0" applyNumberFormat="1" applyFont="1" applyBorder="1" applyAlignment="1">
      <alignment horizontal="center"/>
    </xf>
    <xf numFmtId="165" fontId="0" fillId="0" borderId="0" xfId="0" applyNumberFormat="1" applyAlignment="1">
      <alignment horizontal="left" vertical="center"/>
    </xf>
    <xf numFmtId="164" fontId="31" fillId="6" borderId="13" xfId="0" applyNumberFormat="1" applyFont="1" applyFill="1" applyBorder="1" applyAlignment="1">
      <alignment horizontal="left"/>
    </xf>
    <xf numFmtId="6" fontId="0" fillId="6" borderId="0" xfId="0" applyNumberFormat="1" applyFill="1"/>
    <xf numFmtId="0" fontId="15" fillId="18" borderId="15" xfId="0" applyFont="1" applyFill="1" applyBorder="1"/>
    <xf numFmtId="0" fontId="15" fillId="18" borderId="16" xfId="0" applyFont="1" applyFill="1" applyBorder="1"/>
    <xf numFmtId="0" fontId="15" fillId="18" borderId="17" xfId="0" applyFont="1" applyFill="1" applyBorder="1"/>
    <xf numFmtId="165" fontId="31" fillId="6" borderId="3" xfId="0" applyNumberFormat="1" applyFont="1" applyFill="1" applyBorder="1" applyAlignment="1">
      <alignment horizontal="left" indent="1"/>
    </xf>
    <xf numFmtId="6" fontId="0" fillId="6" borderId="4" xfId="0" applyNumberFormat="1" applyFill="1" applyBorder="1"/>
    <xf numFmtId="0" fontId="0" fillId="0" borderId="3" xfId="0" applyBorder="1" applyAlignment="1">
      <alignment horizontal="left" indent="2"/>
    </xf>
    <xf numFmtId="164" fontId="40" fillId="0" borderId="0" xfId="0" applyNumberFormat="1" applyFont="1" applyAlignment="1">
      <alignment horizontal="left"/>
    </xf>
    <xf numFmtId="0" fontId="31" fillId="6" borderId="2" xfId="0" applyFont="1" applyFill="1" applyBorder="1" applyAlignment="1">
      <alignment horizontal="left" indent="1"/>
    </xf>
    <xf numFmtId="0" fontId="31" fillId="6" borderId="23" xfId="0" applyFont="1" applyFill="1" applyBorder="1"/>
    <xf numFmtId="0" fontId="0" fillId="6" borderId="0" xfId="0" applyFill="1"/>
    <xf numFmtId="0" fontId="0" fillId="6" borderId="4" xfId="0" applyFill="1" applyBorder="1"/>
    <xf numFmtId="3" fontId="41" fillId="0" borderId="0" xfId="0" applyNumberFormat="1" applyFont="1" applyAlignment="1">
      <alignment horizontal="left"/>
    </xf>
    <xf numFmtId="164" fontId="0" fillId="0" borderId="3" xfId="0" applyNumberFormat="1" applyBorder="1" applyAlignment="1">
      <alignment horizontal="left" indent="2"/>
    </xf>
    <xf numFmtId="165" fontId="0" fillId="0" borderId="3" xfId="0" applyNumberFormat="1" applyBorder="1"/>
    <xf numFmtId="6" fontId="0" fillId="0" borderId="0" xfId="0" applyNumberFormat="1"/>
    <xf numFmtId="0" fontId="19" fillId="0" borderId="0" xfId="0" applyFont="1"/>
    <xf numFmtId="0" fontId="31" fillId="0" borderId="35" xfId="0" applyFont="1" applyBorder="1" applyAlignment="1">
      <alignment horizontal="left" indent="2"/>
    </xf>
    <xf numFmtId="165" fontId="31" fillId="0" borderId="35" xfId="0" applyNumberFormat="1" applyFont="1" applyBorder="1" applyAlignment="1">
      <alignment horizontal="center"/>
    </xf>
    <xf numFmtId="165" fontId="31" fillId="0" borderId="34" xfId="0" applyNumberFormat="1" applyFont="1" applyBorder="1" applyAlignment="1">
      <alignment horizontal="center"/>
    </xf>
    <xf numFmtId="0" fontId="48" fillId="4" borderId="0" xfId="0" applyFont="1" applyFill="1"/>
    <xf numFmtId="6" fontId="48" fillId="3" borderId="0" xfId="0" applyNumberFormat="1" applyFont="1" applyFill="1"/>
    <xf numFmtId="165" fontId="49" fillId="14" borderId="1" xfId="2" applyNumberFormat="1" applyFont="1" applyFill="1" applyBorder="1"/>
    <xf numFmtId="0" fontId="48" fillId="13" borderId="31" xfId="8" applyFont="1"/>
    <xf numFmtId="169" fontId="48" fillId="4" borderId="1" xfId="0" applyNumberFormat="1" applyFont="1" applyFill="1" applyBorder="1"/>
    <xf numFmtId="167" fontId="48" fillId="4" borderId="1" xfId="0" applyNumberFormat="1" applyFont="1" applyFill="1" applyBorder="1" applyAlignment="1">
      <alignment horizontal="right" vertical="top" wrapText="1"/>
    </xf>
    <xf numFmtId="8" fontId="48" fillId="12" borderId="1" xfId="0" applyNumberFormat="1" applyFont="1" applyFill="1" applyBorder="1" applyAlignment="1">
      <alignment vertical="top" wrapText="1"/>
    </xf>
    <xf numFmtId="164" fontId="48" fillId="4" borderId="1" xfId="0" applyNumberFormat="1" applyFont="1" applyFill="1" applyBorder="1" applyAlignment="1">
      <alignment vertical="top" wrapText="1"/>
    </xf>
    <xf numFmtId="0" fontId="48" fillId="0" borderId="0" xfId="0" applyFont="1"/>
    <xf numFmtId="0" fontId="48" fillId="0" borderId="0" xfId="0" applyFont="1" applyAlignment="1">
      <alignment horizontal="left" vertical="center" wrapText="1"/>
    </xf>
    <xf numFmtId="165" fontId="48" fillId="4" borderId="1" xfId="0" applyNumberFormat="1" applyFont="1" applyFill="1" applyBorder="1" applyAlignment="1">
      <alignment vertical="top" wrapText="1"/>
    </xf>
    <xf numFmtId="0" fontId="9" fillId="0" borderId="16" xfId="0" applyFont="1" applyBorder="1" applyAlignment="1">
      <alignment horizontal="center"/>
    </xf>
    <xf numFmtId="6" fontId="48" fillId="0" borderId="1" xfId="0" applyNumberFormat="1" applyFont="1" applyBorder="1" applyAlignment="1">
      <alignment horizontal="right" vertical="center" wrapText="1"/>
    </xf>
    <xf numFmtId="1" fontId="48" fillId="3" borderId="1" xfId="0" applyNumberFormat="1" applyFont="1" applyFill="1" applyBorder="1"/>
    <xf numFmtId="0" fontId="50" fillId="17" borderId="2" xfId="0" applyFont="1" applyFill="1" applyBorder="1" applyAlignment="1">
      <alignment horizontal="left" vertical="center" wrapText="1"/>
    </xf>
    <xf numFmtId="0" fontId="50" fillId="17" borderId="13" xfId="0" applyFont="1" applyFill="1" applyBorder="1" applyAlignment="1">
      <alignment horizontal="center" vertical="center" wrapText="1"/>
    </xf>
    <xf numFmtId="0" fontId="50" fillId="17" borderId="23" xfId="0" applyFont="1" applyFill="1" applyBorder="1" applyAlignment="1">
      <alignment horizontal="center" vertical="center" wrapText="1"/>
    </xf>
    <xf numFmtId="0" fontId="50" fillId="18" borderId="3" xfId="0" applyFont="1" applyFill="1" applyBorder="1" applyAlignment="1">
      <alignment horizontal="left" vertical="center" wrapText="1" indent="1"/>
    </xf>
    <xf numFmtId="0" fontId="50" fillId="18" borderId="0" xfId="0" applyFont="1" applyFill="1" applyAlignment="1">
      <alignment horizontal="center" vertical="center" wrapText="1"/>
    </xf>
    <xf numFmtId="0" fontId="50" fillId="18" borderId="4" xfId="0" applyFont="1" applyFill="1" applyBorder="1" applyAlignment="1">
      <alignment horizontal="center" vertical="center" wrapText="1"/>
    </xf>
    <xf numFmtId="0" fontId="51" fillId="0" borderId="3" xfId="0" applyFont="1" applyBorder="1" applyAlignment="1">
      <alignment horizontal="left" vertical="center" wrapText="1" indent="2"/>
    </xf>
    <xf numFmtId="0" fontId="51" fillId="0" borderId="0" xfId="0" applyFont="1" applyAlignment="1">
      <alignment horizontal="left" vertical="center" wrapText="1"/>
    </xf>
    <xf numFmtId="2" fontId="51" fillId="0" borderId="0" xfId="0" applyNumberFormat="1" applyFont="1" applyAlignment="1">
      <alignment horizontal="left" vertical="center" wrapText="1"/>
    </xf>
    <xf numFmtId="0" fontId="51" fillId="0" borderId="0" xfId="0" applyFont="1" applyAlignment="1">
      <alignment horizontal="left" vertical="center"/>
    </xf>
    <xf numFmtId="0" fontId="51" fillId="0" borderId="3" xfId="0" applyFont="1" applyBorder="1" applyAlignment="1">
      <alignment vertical="center" wrapText="1"/>
    </xf>
    <xf numFmtId="0" fontId="52" fillId="12" borderId="2" xfId="0" applyFont="1" applyFill="1" applyBorder="1" applyAlignment="1">
      <alignment horizontal="left" vertical="center" wrapText="1" indent="1"/>
    </xf>
    <xf numFmtId="0" fontId="50" fillId="18" borderId="3" xfId="0" applyFont="1" applyFill="1" applyBorder="1" applyAlignment="1">
      <alignment horizontal="left" vertical="center" indent="1"/>
    </xf>
    <xf numFmtId="9" fontId="51" fillId="0" borderId="0" xfId="0" applyNumberFormat="1" applyFont="1" applyAlignment="1">
      <alignment horizontal="left" vertical="center" wrapText="1"/>
    </xf>
    <xf numFmtId="0" fontId="54" fillId="0" borderId="0" xfId="0" applyFont="1" applyAlignment="1">
      <alignment vertical="center"/>
    </xf>
    <xf numFmtId="0" fontId="51" fillId="0" borderId="4" xfId="0" applyFont="1" applyBorder="1" applyAlignment="1">
      <alignment horizontal="left" vertical="center" wrapText="1"/>
    </xf>
    <xf numFmtId="2" fontId="40" fillId="0" borderId="21" xfId="0" applyNumberFormat="1" applyFont="1" applyBorder="1" applyAlignment="1">
      <alignment horizontal="left" vertical="center"/>
    </xf>
    <xf numFmtId="0" fontId="33" fillId="0" borderId="0" xfId="0" applyFont="1"/>
    <xf numFmtId="0" fontId="31" fillId="3" borderId="22" xfId="0" applyFont="1" applyFill="1" applyBorder="1"/>
    <xf numFmtId="0" fontId="31" fillId="27" borderId="1" xfId="0" applyFont="1" applyFill="1" applyBorder="1"/>
    <xf numFmtId="0" fontId="31" fillId="27" borderId="22" xfId="0" applyFont="1" applyFill="1" applyBorder="1"/>
    <xf numFmtId="6" fontId="33" fillId="4" borderId="4" xfId="0" applyNumberFormat="1" applyFont="1" applyFill="1" applyBorder="1" applyAlignment="1">
      <alignment horizontal="center"/>
    </xf>
    <xf numFmtId="0" fontId="33" fillId="4" borderId="4" xfId="0" applyFont="1" applyFill="1" applyBorder="1" applyAlignment="1">
      <alignment horizontal="center"/>
    </xf>
    <xf numFmtId="0" fontId="0" fillId="4" borderId="1" xfId="0" applyFill="1" applyBorder="1" applyAlignment="1">
      <alignment horizontal="center"/>
    </xf>
    <xf numFmtId="6" fontId="40" fillId="4" borderId="17" xfId="0" applyNumberFormat="1" applyFont="1" applyFill="1" applyBorder="1" applyAlignment="1">
      <alignment horizontal="center"/>
    </xf>
    <xf numFmtId="0" fontId="0" fillId="4" borderId="22" xfId="0" applyFill="1" applyBorder="1" applyAlignment="1">
      <alignment horizontal="center"/>
    </xf>
    <xf numFmtId="6" fontId="40" fillId="4" borderId="6" xfId="0" applyNumberFormat="1" applyFont="1" applyFill="1" applyBorder="1" applyAlignment="1">
      <alignment horizontal="center"/>
    </xf>
    <xf numFmtId="5" fontId="31" fillId="3" borderId="22" xfId="0" applyNumberFormat="1" applyFont="1" applyFill="1" applyBorder="1" applyAlignment="1">
      <alignment horizontal="center"/>
    </xf>
    <xf numFmtId="165" fontId="31" fillId="0" borderId="0" xfId="0" applyNumberFormat="1" applyFont="1" applyAlignment="1">
      <alignment horizontal="center"/>
    </xf>
    <xf numFmtId="0" fontId="15" fillId="17" borderId="51" xfId="0" applyFont="1" applyFill="1" applyBorder="1" applyAlignment="1">
      <alignment horizontal="centerContinuous"/>
    </xf>
    <xf numFmtId="0" fontId="16" fillId="17" borderId="52" xfId="0" applyFont="1" applyFill="1" applyBorder="1" applyAlignment="1">
      <alignment horizontal="centerContinuous"/>
    </xf>
    <xf numFmtId="0" fontId="16" fillId="17" borderId="53" xfId="0" applyFont="1" applyFill="1" applyBorder="1" applyAlignment="1">
      <alignment horizontal="centerContinuous"/>
    </xf>
    <xf numFmtId="0" fontId="15" fillId="17" borderId="54" xfId="0" applyFont="1" applyFill="1" applyBorder="1" applyAlignment="1">
      <alignment horizontal="centerContinuous"/>
    </xf>
    <xf numFmtId="0" fontId="15" fillId="17" borderId="55" xfId="0" applyFont="1" applyFill="1" applyBorder="1" applyAlignment="1">
      <alignment horizontal="centerContinuous"/>
    </xf>
    <xf numFmtId="0" fontId="42" fillId="0" borderId="0" xfId="0" applyFont="1" applyAlignment="1">
      <alignment vertical="center" wrapText="1"/>
    </xf>
    <xf numFmtId="2" fontId="41" fillId="0" borderId="0" xfId="0" applyNumberFormat="1" applyFont="1" applyAlignment="1">
      <alignment horizontal="left"/>
    </xf>
    <xf numFmtId="1" fontId="41" fillId="0" borderId="0" xfId="0" applyNumberFormat="1" applyFont="1" applyAlignment="1">
      <alignment horizontal="left"/>
    </xf>
    <xf numFmtId="8" fontId="40" fillId="4" borderId="0" xfId="0" applyNumberFormat="1" applyFont="1" applyFill="1" applyAlignment="1">
      <alignment horizontal="left"/>
    </xf>
    <xf numFmtId="0" fontId="31" fillId="3" borderId="15" xfId="0" applyFont="1" applyFill="1" applyBorder="1" applyAlignment="1">
      <alignment horizontal="left" indent="1"/>
    </xf>
    <xf numFmtId="164" fontId="31" fillId="3" borderId="16" xfId="0" applyNumberFormat="1" applyFont="1" applyFill="1" applyBorder="1" applyAlignment="1">
      <alignment horizontal="left"/>
    </xf>
    <xf numFmtId="0" fontId="31" fillId="3" borderId="17" xfId="0" applyFont="1" applyFill="1" applyBorder="1"/>
    <xf numFmtId="0" fontId="31" fillId="3" borderId="15" xfId="0" applyFont="1" applyFill="1" applyBorder="1"/>
    <xf numFmtId="0" fontId="0" fillId="3" borderId="17" xfId="0" applyFill="1" applyBorder="1"/>
    <xf numFmtId="0" fontId="33" fillId="0" borderId="4" xfId="0" applyFont="1" applyBorder="1"/>
    <xf numFmtId="0" fontId="41" fillId="0" borderId="0" xfId="0" applyFont="1" applyAlignment="1">
      <alignment horizontal="left"/>
    </xf>
    <xf numFmtId="0" fontId="0" fillId="17" borderId="13" xfId="0" applyFill="1" applyBorder="1" applyAlignment="1">
      <alignment horizontal="center" vertical="center"/>
    </xf>
    <xf numFmtId="0" fontId="0" fillId="17" borderId="13" xfId="0" applyFill="1" applyBorder="1" applyAlignment="1">
      <alignment vertical="center"/>
    </xf>
    <xf numFmtId="0" fontId="0" fillId="17" borderId="23" xfId="0" applyFill="1" applyBorder="1" applyAlignment="1">
      <alignment horizontal="center" vertical="center"/>
    </xf>
    <xf numFmtId="0" fontId="15" fillId="0" borderId="3" xfId="0" applyFont="1" applyBorder="1" applyAlignment="1">
      <alignment vertical="center"/>
    </xf>
    <xf numFmtId="0" fontId="0" fillId="0" borderId="0" xfId="0" applyAlignment="1">
      <alignment horizontal="center" vertical="center"/>
    </xf>
    <xf numFmtId="0" fontId="0" fillId="0" borderId="4" xfId="0" applyBorder="1" applyAlignment="1">
      <alignment horizontal="center" vertical="center"/>
    </xf>
    <xf numFmtId="0" fontId="31" fillId="0" borderId="0" xfId="0" applyFont="1" applyAlignment="1">
      <alignment horizontal="center" vertical="center"/>
    </xf>
    <xf numFmtId="0" fontId="31" fillId="0" borderId="0" xfId="0" applyFont="1" applyAlignment="1">
      <alignment vertical="center"/>
    </xf>
    <xf numFmtId="0" fontId="31" fillId="0" borderId="56" xfId="0" applyFont="1" applyBorder="1" applyAlignment="1">
      <alignment horizontal="center" vertical="center"/>
    </xf>
    <xf numFmtId="0" fontId="31" fillId="0" borderId="40" xfId="0" applyFont="1" applyBorder="1" applyAlignment="1">
      <alignment horizontal="center" vertical="center"/>
    </xf>
    <xf numFmtId="0" fontId="31" fillId="0" borderId="39" xfId="0" applyFont="1" applyBorder="1" applyAlignment="1">
      <alignment horizontal="center" vertical="center"/>
    </xf>
    <xf numFmtId="0" fontId="31" fillId="0" borderId="38" xfId="0" applyFont="1" applyBorder="1" applyAlignment="1">
      <alignment horizontal="center" vertical="center"/>
    </xf>
    <xf numFmtId="0" fontId="31" fillId="0" borderId="57" xfId="0" applyFont="1" applyBorder="1" applyAlignment="1">
      <alignment horizontal="center" vertical="center"/>
    </xf>
    <xf numFmtId="0" fontId="0" fillId="0" borderId="58" xfId="0" applyBorder="1" applyAlignment="1">
      <alignment vertical="center"/>
    </xf>
    <xf numFmtId="37" fontId="0" fillId="0" borderId="43" xfId="0" applyNumberFormat="1" applyBorder="1" applyAlignment="1">
      <alignment horizontal="center" vertical="center"/>
    </xf>
    <xf numFmtId="0" fontId="0" fillId="0" borderId="42" xfId="0" applyBorder="1" applyAlignment="1">
      <alignment vertical="center"/>
    </xf>
    <xf numFmtId="0" fontId="0" fillId="0" borderId="43" xfId="0" applyBorder="1" applyAlignment="1">
      <alignment horizontal="center" vertical="center"/>
    </xf>
    <xf numFmtId="0" fontId="0" fillId="0" borderId="41" xfId="0" applyBorder="1" applyAlignment="1">
      <alignment vertical="center"/>
    </xf>
    <xf numFmtId="37" fontId="0" fillId="0" borderId="59" xfId="0" applyNumberFormat="1" applyBorder="1" applyAlignment="1">
      <alignment horizontal="center" vertical="center"/>
    </xf>
    <xf numFmtId="0" fontId="0" fillId="0" borderId="60" xfId="0" applyBorder="1" applyAlignment="1">
      <alignment vertical="center"/>
    </xf>
    <xf numFmtId="37" fontId="0" fillId="0" borderId="46" xfId="0" applyNumberFormat="1" applyBorder="1" applyAlignment="1">
      <alignment horizontal="center" vertical="center"/>
    </xf>
    <xf numFmtId="0" fontId="0" fillId="0" borderId="45" xfId="0" applyBorder="1" applyAlignment="1">
      <alignment vertical="center"/>
    </xf>
    <xf numFmtId="0" fontId="0" fillId="0" borderId="46" xfId="0" applyBorder="1" applyAlignment="1">
      <alignment horizontal="center" vertical="center"/>
    </xf>
    <xf numFmtId="0" fontId="0" fillId="0" borderId="44" xfId="0" applyBorder="1" applyAlignment="1">
      <alignment vertical="center"/>
    </xf>
    <xf numFmtId="37" fontId="0" fillId="0" borderId="61" xfId="0" applyNumberFormat="1" applyBorder="1" applyAlignment="1">
      <alignment horizontal="center" vertical="center"/>
    </xf>
    <xf numFmtId="0" fontId="0" fillId="0" borderId="47" xfId="0" applyBorder="1" applyAlignment="1">
      <alignment vertical="center"/>
    </xf>
    <xf numFmtId="0" fontId="0" fillId="0" borderId="48" xfId="0" applyBorder="1" applyAlignment="1">
      <alignment horizontal="center" vertical="center"/>
    </xf>
    <xf numFmtId="0" fontId="31" fillId="12" borderId="1" xfId="0" applyFont="1" applyFill="1" applyBorder="1" applyAlignment="1">
      <alignment horizontal="left" vertical="center"/>
    </xf>
    <xf numFmtId="37" fontId="31" fillId="12" borderId="1" xfId="0" applyNumberFormat="1" applyFont="1" applyFill="1" applyBorder="1" applyAlignment="1">
      <alignment horizontal="center" vertical="center"/>
    </xf>
    <xf numFmtId="37" fontId="48" fillId="0" borderId="46" xfId="0" applyNumberFormat="1" applyFont="1" applyBorder="1" applyAlignment="1">
      <alignment horizontal="center" vertical="center"/>
    </xf>
    <xf numFmtId="0" fontId="0" fillId="0" borderId="11" xfId="0" applyBorder="1" applyAlignment="1">
      <alignment vertical="center"/>
    </xf>
    <xf numFmtId="0" fontId="0" fillId="0" borderId="49" xfId="0" applyBorder="1" applyAlignment="1">
      <alignment horizontal="center" vertical="center"/>
    </xf>
    <xf numFmtId="0" fontId="0" fillId="0" borderId="63" xfId="0" applyBorder="1" applyAlignment="1">
      <alignment vertical="center"/>
    </xf>
    <xf numFmtId="37" fontId="0" fillId="0" borderId="64" xfId="0" applyNumberFormat="1" applyBorder="1" applyAlignment="1">
      <alignment horizontal="center" vertical="center"/>
    </xf>
    <xf numFmtId="0" fontId="0" fillId="0" borderId="50" xfId="0" applyBorder="1" applyAlignment="1">
      <alignment vertical="center"/>
    </xf>
    <xf numFmtId="37" fontId="0" fillId="0" borderId="62" xfId="0" applyNumberFormat="1" applyBorder="1" applyAlignment="1">
      <alignment horizontal="center" vertical="center"/>
    </xf>
    <xf numFmtId="37" fontId="0" fillId="0" borderId="0" xfId="0" applyNumberFormat="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xf>
    <xf numFmtId="37" fontId="0" fillId="6" borderId="18" xfId="0" applyNumberFormat="1" applyFill="1" applyBorder="1" applyAlignment="1">
      <alignment horizontal="center" vertical="center"/>
    </xf>
    <xf numFmtId="0" fontId="0" fillId="6" borderId="18" xfId="0" applyFill="1" applyBorder="1" applyAlignment="1">
      <alignment vertical="center"/>
    </xf>
    <xf numFmtId="0" fontId="0" fillId="6" borderId="18" xfId="0" applyFill="1" applyBorder="1" applyAlignment="1">
      <alignment horizontal="center" vertical="center"/>
    </xf>
    <xf numFmtId="0" fontId="0" fillId="6" borderId="8" xfId="0" applyFill="1" applyBorder="1" applyAlignment="1">
      <alignment horizontal="center" vertical="center"/>
    </xf>
    <xf numFmtId="37" fontId="0" fillId="6" borderId="0" xfId="0" applyNumberFormat="1" applyFill="1" applyAlignment="1">
      <alignment horizontal="center" vertical="center"/>
    </xf>
    <xf numFmtId="0" fontId="0" fillId="6" borderId="0" xfId="0" applyFill="1" applyAlignment="1">
      <alignment vertical="center"/>
    </xf>
    <xf numFmtId="37" fontId="0" fillId="6" borderId="19" xfId="0" applyNumberFormat="1" applyFill="1" applyBorder="1" applyAlignment="1">
      <alignment horizontal="center" vertical="center"/>
    </xf>
    <xf numFmtId="0" fontId="0" fillId="6" borderId="19" xfId="0" applyFill="1" applyBorder="1" applyAlignment="1">
      <alignment vertical="center"/>
    </xf>
    <xf numFmtId="0" fontId="15" fillId="18" borderId="0" xfId="0" applyFont="1" applyFill="1" applyAlignment="1">
      <alignment horizontal="center" vertical="center"/>
    </xf>
    <xf numFmtId="3" fontId="40" fillId="0" borderId="32" xfId="0" applyNumberFormat="1" applyFont="1" applyBorder="1" applyAlignment="1">
      <alignment horizontal="center"/>
    </xf>
    <xf numFmtId="0" fontId="19" fillId="6" borderId="65" xfId="0" applyFont="1" applyFill="1" applyBorder="1" applyAlignment="1">
      <alignment horizontal="left" vertical="center" indent="1"/>
    </xf>
    <xf numFmtId="0" fontId="19" fillId="6" borderId="66" xfId="0" applyFont="1" applyFill="1" applyBorder="1" applyAlignment="1">
      <alignment horizontal="left" vertical="center" indent="1"/>
    </xf>
    <xf numFmtId="0" fontId="0" fillId="6" borderId="67" xfId="0" applyFill="1" applyBorder="1" applyAlignment="1">
      <alignment horizontal="left" vertical="center" indent="1"/>
    </xf>
    <xf numFmtId="0" fontId="0" fillId="0" borderId="22" xfId="0" applyBorder="1" applyAlignment="1">
      <alignment horizontal="center"/>
    </xf>
    <xf numFmtId="6" fontId="40" fillId="0" borderId="6" xfId="0" applyNumberFormat="1" applyFont="1" applyBorder="1" applyAlignment="1">
      <alignment horizontal="center"/>
    </xf>
    <xf numFmtId="0" fontId="0" fillId="4" borderId="68" xfId="0" applyFill="1" applyBorder="1" applyAlignment="1">
      <alignment horizontal="center"/>
    </xf>
    <xf numFmtId="6" fontId="40" fillId="4" borderId="69" xfId="0" applyNumberFormat="1" applyFont="1" applyFill="1" applyBorder="1" applyAlignment="1">
      <alignment horizontal="center"/>
    </xf>
    <xf numFmtId="0" fontId="0" fillId="0" borderId="21" xfId="0" applyBorder="1" applyAlignment="1">
      <alignment horizontal="left"/>
    </xf>
    <xf numFmtId="0" fontId="0" fillId="0" borderId="22" xfId="0" applyBorder="1" applyAlignment="1">
      <alignment horizontal="left" vertical="center" wrapText="1"/>
    </xf>
    <xf numFmtId="0" fontId="0" fillId="0" borderId="68" xfId="0" applyBorder="1" applyAlignment="1">
      <alignment horizontal="left"/>
    </xf>
    <xf numFmtId="0" fontId="31" fillId="12" borderId="5" xfId="0" applyFont="1" applyFill="1" applyBorder="1"/>
    <xf numFmtId="0" fontId="31" fillId="12" borderId="6" xfId="0" applyFont="1" applyFill="1" applyBorder="1"/>
    <xf numFmtId="0" fontId="31" fillId="12" borderId="14" xfId="0" applyFont="1" applyFill="1" applyBorder="1" applyAlignment="1">
      <alignment horizontal="left"/>
    </xf>
    <xf numFmtId="0" fontId="31" fillId="12" borderId="22" xfId="0" applyFont="1" applyFill="1" applyBorder="1" applyAlignment="1">
      <alignment horizontal="left"/>
    </xf>
    <xf numFmtId="0" fontId="0" fillId="0" borderId="5" xfId="0" applyBorder="1" applyProtection="1">
      <protection locked="0"/>
    </xf>
    <xf numFmtId="3" fontId="0" fillId="6" borderId="14" xfId="0" applyNumberFormat="1" applyFill="1" applyBorder="1" applyAlignment="1">
      <alignment horizontal="left"/>
    </xf>
    <xf numFmtId="3" fontId="0" fillId="0" borderId="14" xfId="0" applyNumberFormat="1" applyBorder="1" applyAlignment="1">
      <alignment horizontal="left"/>
    </xf>
    <xf numFmtId="3" fontId="0" fillId="0" borderId="22" xfId="0" applyNumberFormat="1" applyBorder="1" applyAlignment="1">
      <alignment horizontal="left"/>
    </xf>
    <xf numFmtId="0" fontId="15" fillId="18" borderId="20" xfId="0" applyFont="1" applyFill="1" applyBorder="1" applyAlignment="1">
      <alignment horizontal="center" vertical="center"/>
    </xf>
    <xf numFmtId="171" fontId="31" fillId="26" borderId="1" xfId="10" applyNumberFormat="1" applyFont="1" applyFill="1" applyBorder="1" applyAlignment="1">
      <alignment horizontal="left"/>
    </xf>
    <xf numFmtId="0" fontId="0" fillId="0" borderId="4" xfId="0" applyBorder="1" applyAlignment="1">
      <alignment horizontal="left"/>
    </xf>
    <xf numFmtId="0" fontId="0" fillId="0" borderId="14" xfId="0" applyBorder="1" applyAlignment="1">
      <alignment horizontal="left"/>
    </xf>
    <xf numFmtId="0" fontId="0" fillId="0" borderId="6" xfId="0" applyBorder="1" applyAlignment="1">
      <alignment horizontal="left"/>
    </xf>
    <xf numFmtId="0" fontId="0" fillId="0" borderId="5" xfId="0" applyBorder="1" applyAlignment="1">
      <alignment horizontal="left"/>
    </xf>
    <xf numFmtId="0" fontId="0" fillId="0" borderId="2" xfId="0" applyBorder="1" applyAlignment="1">
      <alignment horizontal="left"/>
    </xf>
    <xf numFmtId="0" fontId="0" fillId="0" borderId="13" xfId="0" applyBorder="1" applyAlignment="1">
      <alignment horizontal="left"/>
    </xf>
    <xf numFmtId="0" fontId="0" fillId="0" borderId="23" xfId="0" applyBorder="1" applyAlignment="1">
      <alignment horizontal="left"/>
    </xf>
    <xf numFmtId="0" fontId="55" fillId="4" borderId="3" xfId="0" applyFont="1" applyFill="1" applyBorder="1"/>
    <xf numFmtId="0" fontId="55" fillId="4" borderId="0" xfId="0" applyFont="1" applyFill="1"/>
    <xf numFmtId="0" fontId="10" fillId="0" borderId="0" xfId="0" applyFont="1" applyAlignment="1">
      <alignment horizontal="left" indent="1"/>
    </xf>
    <xf numFmtId="6" fontId="0" fillId="6" borderId="23" xfId="0" applyNumberFormat="1" applyFill="1" applyBorder="1"/>
    <xf numFmtId="0" fontId="0" fillId="4" borderId="4" xfId="0" applyFill="1" applyBorder="1"/>
    <xf numFmtId="165" fontId="31" fillId="27" borderId="15" xfId="0" applyNumberFormat="1" applyFont="1" applyFill="1" applyBorder="1" applyAlignment="1">
      <alignment horizontal="center"/>
    </xf>
    <xf numFmtId="165" fontId="31" fillId="27" borderId="16" xfId="0" applyNumberFormat="1" applyFont="1" applyFill="1" applyBorder="1" applyAlignment="1">
      <alignment horizontal="center"/>
    </xf>
    <xf numFmtId="165" fontId="31" fillId="27" borderId="17" xfId="0" applyNumberFormat="1" applyFont="1" applyFill="1" applyBorder="1" applyAlignment="1">
      <alignment horizontal="center"/>
    </xf>
    <xf numFmtId="2" fontId="31" fillId="27" borderId="15" xfId="0" applyNumberFormat="1" applyFont="1" applyFill="1" applyBorder="1" applyAlignment="1">
      <alignment horizontal="center"/>
    </xf>
    <xf numFmtId="2" fontId="31" fillId="27" borderId="16" xfId="0" applyNumberFormat="1" applyFont="1" applyFill="1" applyBorder="1" applyAlignment="1">
      <alignment horizontal="center"/>
    </xf>
    <xf numFmtId="2" fontId="31" fillId="27" borderId="17" xfId="0" applyNumberFormat="1" applyFont="1" applyFill="1" applyBorder="1" applyAlignment="1">
      <alignment horizontal="center"/>
    </xf>
    <xf numFmtId="0" fontId="22" fillId="9" borderId="1" xfId="0" applyFont="1" applyFill="1" applyBorder="1" applyAlignment="1">
      <alignment vertical="center"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6" xfId="0" applyFont="1" applyBorder="1" applyAlignment="1">
      <alignment vertical="top" wrapText="1"/>
    </xf>
    <xf numFmtId="0" fontId="23" fillId="9" borderId="15" xfId="0" applyFont="1" applyFill="1" applyBorder="1" applyAlignment="1">
      <alignment horizontal="center" vertical="center"/>
    </xf>
    <xf numFmtId="0" fontId="23" fillId="9" borderId="17" xfId="0" applyFont="1" applyFill="1" applyBorder="1" applyAlignment="1">
      <alignment horizontal="center" vertical="center"/>
    </xf>
    <xf numFmtId="0" fontId="2" fillId="0" borderId="13" xfId="0" applyFont="1" applyBorder="1" applyAlignment="1">
      <alignment horizontal="left" vertical="top" wrapText="1"/>
    </xf>
    <xf numFmtId="0" fontId="2" fillId="0" borderId="23" xfId="0" applyFont="1" applyBorder="1" applyAlignment="1">
      <alignment horizontal="left" vertical="top" wrapText="1"/>
    </xf>
    <xf numFmtId="0" fontId="2" fillId="0" borderId="14" xfId="0" applyFont="1" applyBorder="1" applyAlignment="1">
      <alignment horizontal="left" vertical="top" wrapText="1"/>
    </xf>
    <xf numFmtId="0" fontId="2" fillId="0" borderId="0" xfId="0" applyFont="1" applyAlignment="1">
      <alignment horizontal="left" vertical="top" wrapText="1"/>
    </xf>
    <xf numFmtId="0" fontId="2" fillId="0" borderId="5" xfId="0" applyFont="1" applyBorder="1" applyAlignment="1">
      <alignment horizontal="left" vertical="top"/>
    </xf>
    <xf numFmtId="0" fontId="2" fillId="0" borderId="14" xfId="0" applyFont="1" applyBorder="1" applyAlignment="1">
      <alignment horizontal="left" vertical="top"/>
    </xf>
    <xf numFmtId="0" fontId="2" fillId="0" borderId="6" xfId="0" applyFont="1" applyBorder="1" applyAlignment="1">
      <alignment horizontal="left" vertical="top"/>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3" fillId="9" borderId="1" xfId="0" applyFont="1" applyFill="1" applyBorder="1" applyAlignment="1">
      <alignment horizontal="center" vertical="center" wrapText="1"/>
    </xf>
    <xf numFmtId="0" fontId="23" fillId="9" borderId="1" xfId="0" applyFont="1" applyFill="1" applyBorder="1" applyAlignment="1">
      <alignment vertical="center" wrapText="1"/>
    </xf>
    <xf numFmtId="0" fontId="23" fillId="9" borderId="5" xfId="0" applyFont="1" applyFill="1" applyBorder="1" applyAlignment="1">
      <alignment horizontal="center" vertical="center" wrapText="1"/>
    </xf>
    <xf numFmtId="0" fontId="23" fillId="9" borderId="14" xfId="0" applyFont="1" applyFill="1" applyBorder="1" applyAlignment="1">
      <alignment horizontal="center" vertical="center" wrapText="1"/>
    </xf>
    <xf numFmtId="0" fontId="23" fillId="9" borderId="6" xfId="0" applyFont="1" applyFill="1" applyBorder="1" applyAlignment="1">
      <alignment horizontal="center" vertical="center" wrapText="1"/>
    </xf>
    <xf numFmtId="0" fontId="15" fillId="7" borderId="16" xfId="0" applyFont="1" applyFill="1" applyBorder="1" applyAlignment="1">
      <alignment horizontal="center"/>
    </xf>
    <xf numFmtId="0" fontId="15" fillId="7" borderId="17" xfId="0" applyFont="1" applyFill="1" applyBorder="1" applyAlignment="1">
      <alignment horizontal="center"/>
    </xf>
    <xf numFmtId="0" fontId="15" fillId="7" borderId="15" xfId="0" applyFont="1" applyFill="1" applyBorder="1" applyAlignment="1">
      <alignment horizontal="center"/>
    </xf>
    <xf numFmtId="0" fontId="0" fillId="6" borderId="19" xfId="0" applyFill="1" applyBorder="1" applyAlignment="1">
      <alignment horizontal="left" vertical="center" wrapText="1"/>
    </xf>
    <xf numFmtId="0" fontId="0" fillId="6" borderId="12" xfId="0" applyFill="1" applyBorder="1" applyAlignment="1">
      <alignment horizontal="left" vertical="center" wrapText="1"/>
    </xf>
    <xf numFmtId="0" fontId="31" fillId="0" borderId="0" xfId="0" applyFont="1" applyAlignment="1">
      <alignment horizontal="center" vertical="center"/>
    </xf>
    <xf numFmtId="0" fontId="31" fillId="0" borderId="4" xfId="0" applyFont="1" applyBorder="1" applyAlignment="1">
      <alignment horizontal="center" vertical="center"/>
    </xf>
    <xf numFmtId="0" fontId="31" fillId="0" borderId="3" xfId="0" applyFont="1" applyBorder="1" applyAlignment="1">
      <alignment horizontal="center" vertical="center"/>
    </xf>
    <xf numFmtId="0" fontId="19" fillId="0" borderId="3" xfId="0" applyFont="1" applyBorder="1" applyAlignment="1">
      <alignment horizontal="left" vertical="center" wrapText="1"/>
    </xf>
    <xf numFmtId="0" fontId="19" fillId="0" borderId="0" xfId="0" applyFont="1" applyAlignment="1">
      <alignment horizontal="left" vertical="center" wrapText="1"/>
    </xf>
    <xf numFmtId="0" fontId="19" fillId="0" borderId="4" xfId="0" applyFont="1" applyBorder="1" applyAlignment="1">
      <alignment horizontal="left" vertical="center" wrapText="1"/>
    </xf>
    <xf numFmtId="0" fontId="0" fillId="6" borderId="0" xfId="0" applyFill="1" applyAlignment="1">
      <alignment horizontal="left" vertical="center"/>
    </xf>
    <xf numFmtId="0" fontId="0" fillId="6" borderId="10" xfId="0" applyFill="1" applyBorder="1" applyAlignment="1">
      <alignment horizontal="left" vertical="center"/>
    </xf>
    <xf numFmtId="0" fontId="15" fillId="17" borderId="2" xfId="0" applyFont="1" applyFill="1" applyBorder="1" applyAlignment="1">
      <alignment horizontal="center" vertical="center"/>
    </xf>
    <xf numFmtId="0" fontId="15" fillId="17" borderId="13" xfId="0" applyFont="1" applyFill="1" applyBorder="1" applyAlignment="1">
      <alignment horizontal="center" vertical="center"/>
    </xf>
    <xf numFmtId="0" fontId="15" fillId="17" borderId="23" xfId="0" applyFont="1" applyFill="1" applyBorder="1" applyAlignment="1">
      <alignment horizontal="center" vertical="center"/>
    </xf>
    <xf numFmtId="0" fontId="31" fillId="0" borderId="14" xfId="0" applyFont="1" applyBorder="1" applyAlignment="1">
      <alignment horizontal="left"/>
    </xf>
    <xf numFmtId="0" fontId="31" fillId="0" borderId="0" xfId="0" applyFont="1" applyAlignment="1">
      <alignment horizontal="left"/>
    </xf>
    <xf numFmtId="0" fontId="31" fillId="0" borderId="14" xfId="0" applyFont="1" applyBorder="1" applyAlignment="1">
      <alignment horizontal="left" wrapText="1"/>
    </xf>
    <xf numFmtId="0" fontId="31" fillId="0" borderId="0" xfId="0" applyFont="1" applyAlignment="1">
      <alignment horizontal="left" wrapText="1"/>
    </xf>
  </cellXfs>
  <cellStyles count="12">
    <cellStyle name="Comma" xfId="9" builtinId="3"/>
    <cellStyle name="Currency" xfId="2" builtinId="4"/>
    <cellStyle name="Heading 1" xfId="3" builtinId="16"/>
    <cellStyle name="Heading 2" xfId="4" builtinId="17"/>
    <cellStyle name="Heading 4" xfId="5" builtinId="19"/>
    <cellStyle name="Hyperlink" xfId="1" builtinId="8"/>
    <cellStyle name="Hyperlink 2" xfId="7" xr:uid="{304C8883-2D05-433A-93CD-BB7137A396C1}"/>
    <cellStyle name="Normal" xfId="0" builtinId="0"/>
    <cellStyle name="Normal 7" xfId="6" xr:uid="{39C09B7B-9AFF-4A61-96F1-6C02C073A05F}"/>
    <cellStyle name="Note" xfId="8" builtinId="10"/>
    <cellStyle name="Percent" xfId="10" builtinId="5"/>
    <cellStyle name="STYLE0" xfId="11" xr:uid="{B4F393F7-48D3-4BA8-B746-D2B40C74C58A}"/>
  </cellStyles>
  <dxfs count="65">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u val="none"/>
      </font>
      <fill>
        <patternFill>
          <bgColor theme="4" tint="0.39994506668294322"/>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b val="0"/>
        <i val="0"/>
        <u val="none"/>
      </font>
      <fill>
        <patternFill>
          <bgColor theme="0" tint="-0.24994659260841701"/>
        </patternFill>
      </fill>
    </dxf>
    <dxf>
      <font>
        <color rgb="FF9C0006"/>
      </font>
      <fill>
        <patternFill>
          <bgColor rgb="FFFFC7CE"/>
        </patternFill>
      </fill>
    </dxf>
    <dxf>
      <font>
        <b val="0"/>
        <i val="0"/>
        <strike val="0"/>
        <u val="none"/>
      </font>
      <fill>
        <patternFill>
          <bgColor rgb="FFBFBFBF"/>
        </patternFill>
      </fill>
    </dxf>
    <dxf>
      <font>
        <b val="0"/>
        <i/>
      </font>
    </dxf>
    <dxf>
      <fill>
        <patternFill>
          <bgColor theme="2"/>
        </patternFill>
      </fill>
    </dxf>
    <dxf>
      <numFmt numFmtId="172" formatCode="yyyy\-mm\-dd\ h:mm:ss"/>
    </dxf>
    <dxf>
      <border outline="0">
        <bottom style="medium">
          <color rgb="FF000000"/>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left"/>
    </dxf>
    <dxf>
      <alignment horizontal="left"/>
    </dxf>
    <dxf>
      <alignment horizontal="left"/>
    </dxf>
    <dxf>
      <alignment horizontal="left"/>
    </dxf>
    <dxf>
      <alignment horizontal="left"/>
    </dxf>
    <dxf>
      <alignment horizontal="lef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left"/>
    </dxf>
    <dxf>
      <alignment horizontal="left"/>
    </dxf>
    <dxf>
      <alignment horizontal="left"/>
    </dxf>
    <dxf>
      <alignment horizontal="left"/>
    </dxf>
    <dxf>
      <alignment horizontal="left"/>
    </dxf>
    <dxf>
      <alignment horizontal="lef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left"/>
    </dxf>
    <dxf>
      <alignment horizontal="left"/>
    </dxf>
    <dxf>
      <alignment horizontal="left"/>
    </dxf>
    <dxf>
      <alignment horizontal="left"/>
    </dxf>
    <dxf>
      <alignment horizontal="left"/>
    </dxf>
    <dxf>
      <alignment horizontal="left"/>
    </dxf>
  </dxfs>
  <tableStyles count="0" defaultTableStyle="TableStyleMedium2" defaultPivotStyle="PivotStyleLight16"/>
  <colors>
    <mruColors>
      <color rgb="FFBFBFBF"/>
      <color rgb="FFA9D08E"/>
      <color rgb="FFFFFFCC"/>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jdirving.sharepoint.com/sites/NBMR-Engineering/Shared%20Documents/NTCF/Scope/2021%20Quote%20Sheet-%20WORKING_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dirving.sharepoint.com/A155580/MyData/Quote%20to%20Presentation%20Macro.xlsm"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Documents%20and%20Settings/cbkierst/Local%20Settings/Temporary%20Internet%20Files/Content.Outlook/26EM6KJV/Quotes%20%20Sheet%20Based%20on%20Steve%20W%20model%20fro%20100%20TF%2002.26.2013.xlsx" TargetMode="External"/><Relationship Id="rId1" Type="http://schemas.openxmlformats.org/officeDocument/2006/relationships/externalLinkPath" Target="/Documents%20and%20Settings/cbkierst/Local%20Settings/Temporary%20Internet%20Files/Content.Outlook/26EM6KJV/Quotes%20%20Sheet%20Based%20on%20Steve%20W%20model%20fro%20100%20TF%2002.26.2013.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Users/CSXGA/SafeSync/Grants/Completed%20Grants/2021%20RAISE%20MDOT%20Frenchville/Frenchville%20US1/BCA/HSM%20Frenchville%20-%20Ft%20Kent%20Rural%20Segment%20Proposed%20Safety%20Improvements.xls" TargetMode="External"/><Relationship Id="rId1" Type="http://schemas.openxmlformats.org/officeDocument/2006/relationships/externalLinkPath" Target="/Users/CSXGA/SafeSync/Grants/Completed%20Grants/2021%20RAISE%20MDOT%20Frenchville/Frenchville%20US1/BCA/HSM%20Frenchville%20-%20Ft%20Kent%20Rural%20Segment%20Proposed%20Safety%20Improvemen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Generator"/>
      <sheetName val="Proposal"/>
      <sheetName val="Pricing Index"/>
      <sheetName val="Sheet1"/>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atting"/>
      <sheetName val="Summary as Quote"/>
      <sheetName val="Sheet1"/>
      <sheetName val="NBSR COST"/>
      <sheetName val="Equipment &amp; Labour Pricing"/>
      <sheetName val="Turnout Pricing Cost #8"/>
      <sheetName val="Turnout Pricing Cost #10"/>
      <sheetName val="Pricing"/>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NBSR COST"/>
      <sheetName val="Sheet2"/>
      <sheetName val="Pricing"/>
      <sheetName val="Sheet3"/>
    </sheetNames>
    <sheetDataSet>
      <sheetData sheetId="0"/>
      <sheetData sheetId="1"/>
      <sheetData sheetId="2">
        <row r="43">
          <cell r="A43" t="str">
            <v>75 Ton Crane</v>
          </cell>
        </row>
        <row r="44">
          <cell r="A44" t="str">
            <v>Little Giant Crane</v>
          </cell>
        </row>
        <row r="45">
          <cell r="A45" t="str">
            <v>Loader</v>
          </cell>
        </row>
        <row r="46">
          <cell r="A46" t="str">
            <v>Backhoe</v>
          </cell>
        </row>
        <row r="47">
          <cell r="A47" t="str">
            <v>Ballast Regulator</v>
          </cell>
        </row>
        <row r="48">
          <cell r="A48" t="str">
            <v>Blower</v>
          </cell>
        </row>
        <row r="49">
          <cell r="A49" t="str">
            <v>5 Ton</v>
          </cell>
        </row>
        <row r="50">
          <cell r="A50" t="str">
            <v>Buttpicker</v>
          </cell>
        </row>
        <row r="51">
          <cell r="A51" t="str">
            <v>Crew Cab</v>
          </cell>
        </row>
        <row r="52">
          <cell r="A52" t="str">
            <v>Fuel Surcharge</v>
          </cell>
        </row>
        <row r="53">
          <cell r="A53" t="str">
            <v>Ice &amp; Asphalt Cutter</v>
          </cell>
        </row>
        <row r="54">
          <cell r="A54" t="str">
            <v>Jackson Tamper</v>
          </cell>
        </row>
        <row r="55">
          <cell r="A55" t="str">
            <v>Petti-boom</v>
          </cell>
        </row>
        <row r="56">
          <cell r="A56" t="str">
            <v>Power Pack</v>
          </cell>
        </row>
        <row r="57">
          <cell r="A57" t="str">
            <v>Pressure Washer</v>
          </cell>
        </row>
        <row r="58">
          <cell r="A58" t="str">
            <v>Rail Lifter</v>
          </cell>
        </row>
        <row r="59">
          <cell r="A59" t="str">
            <v>Saw/Drill</v>
          </cell>
        </row>
        <row r="60">
          <cell r="A60" t="str">
            <v>Spike Puller</v>
          </cell>
        </row>
        <row r="61">
          <cell r="A61" t="str">
            <v>Spiker</v>
          </cell>
        </row>
        <row r="62">
          <cell r="A62" t="str">
            <v>Tamper</v>
          </cell>
        </row>
        <row r="63">
          <cell r="A63" t="str">
            <v>Tamper &amp; Regulator</v>
          </cell>
        </row>
        <row r="64">
          <cell r="A64" t="str">
            <v>Tie Inserter</v>
          </cell>
        </row>
        <row r="65">
          <cell r="A65" t="str">
            <v>Torches</v>
          </cell>
        </row>
        <row r="66">
          <cell r="A66" t="str">
            <v>Welding Truck</v>
          </cell>
        </row>
      </sheetData>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Segment 1"/>
      <sheetName val="Rural 2-Lane Site Total"/>
      <sheetName val="PW Costs"/>
      <sheetName val="10 Year PW Costs"/>
      <sheetName val="Final Safety Benefit"/>
      <sheetName val="Segment Table Costs"/>
      <sheetName val="Rural 2-Lane Project Total"/>
      <sheetName val="Segment Tables"/>
      <sheetName val="Construction - Do Not Delete"/>
    </sheetNames>
    <sheetDataSet>
      <sheetData sheetId="0"/>
      <sheetData sheetId="1"/>
      <sheetData sheetId="2"/>
      <sheetData sheetId="3"/>
      <sheetData sheetId="4"/>
      <sheetData sheetId="5"/>
      <sheetData sheetId="6"/>
      <sheetData sheetId="7"/>
      <sheetData sheetId="8"/>
      <sheetData sheetId="9">
        <row r="29">
          <cell r="D29" t="str">
            <v>3ST</v>
          </cell>
        </row>
        <row r="30">
          <cell r="D30" t="str">
            <v>4ST</v>
          </cell>
        </row>
        <row r="31">
          <cell r="D31" t="str">
            <v>4SG</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liver 2" refreshedDate="46073.71890763889" createdVersion="8" refreshedVersion="8" minRefreshableVersion="3" recordCount="298" xr:uid="{5605F557-1ECD-48DB-A5D1-39DE57DDE06A}">
  <cacheSource type="worksheet">
    <worksheetSource ref="A1:BJ299" sheet="CrashData_Table"/>
  </cacheSource>
  <cacheFields count="62">
    <cacheField name="Focus Area" numFmtId="0">
      <sharedItems count="3">
        <s v="Focus Area 1"/>
        <s v="Focus Area 2"/>
        <s v="Focus Area 3"/>
      </sharedItems>
    </cacheField>
    <cacheField name="MDOT ID" numFmtId="0">
      <sharedItems/>
    </cacheField>
    <cacheField name="Crash Date" numFmtId="172">
      <sharedItems containsSemiMixedTypes="0" containsNonDate="0" containsDate="1" containsString="0" minDate="2018-01-04T00:00:00" maxDate="2026-01-28T00:00:00"/>
    </cacheField>
    <cacheField name="Town Name" numFmtId="0">
      <sharedItems/>
    </cacheField>
    <cacheField name="Day of Week" numFmtId="0">
      <sharedItems/>
    </cacheField>
    <cacheField name="Time of Crash" numFmtId="0">
      <sharedItems/>
    </cacheField>
    <cacheField name="Year" numFmtId="0">
      <sharedItems containsSemiMixedTypes="0" containsString="0" containsNumber="1" containsInteger="1" minValue="2016" maxValue="2026" count="11">
        <n v="2023"/>
        <n v="2026"/>
        <n v="2018"/>
        <n v="2022"/>
        <n v="2024"/>
        <n v="2020"/>
        <n v="2019"/>
        <n v="2021"/>
        <n v="2025"/>
        <n v="2017" u="1"/>
        <n v="2016" u="1"/>
      </sharedItems>
    </cacheField>
    <cacheField name="Contributing Circumstance Road 1" numFmtId="0">
      <sharedItems/>
    </cacheField>
    <cacheField name="Light Condition" numFmtId="0">
      <sharedItems/>
    </cacheField>
    <cacheField name="Type of Crash" numFmtId="0">
      <sharedItems/>
    </cacheField>
    <cacheField name="Type of Location" numFmtId="0">
      <sharedItems/>
    </cacheField>
    <cacheField name="Road Surface Condition" numFmtId="0">
      <sharedItems/>
    </cacheField>
    <cacheField name="Weather Condition" numFmtId="0">
      <sharedItems/>
    </cacheField>
    <cacheField name="Traffic Control Device Description" numFmtId="0">
      <sharedItems containsBlank="1"/>
    </cacheField>
    <cacheField name="Driver Action 1 Unit 1 Description" numFmtId="0">
      <sharedItems containsBlank="1"/>
    </cacheField>
    <cacheField name="Driver Action 2 Unit 1 Description" numFmtId="0">
      <sharedItems containsBlank="1"/>
    </cacheField>
    <cacheField name="Driver Action 1 Unit 2 Description" numFmtId="0">
      <sharedItems containsBlank="1"/>
    </cacheField>
    <cacheField name="Driver Action 2 Unit 2 Description" numFmtId="0">
      <sharedItems containsBlank="1"/>
    </cacheField>
    <cacheField name="Node" numFmtId="0">
      <sharedItems containsString="0" containsBlank="1" containsNumber="1" containsInteger="1" minValue="38309" maxValue="65528"/>
    </cacheField>
    <cacheField name="Primary Route Number" numFmtId="0">
      <sharedItems/>
    </cacheField>
    <cacheField name="Primary Route Name" numFmtId="0">
      <sharedItems/>
    </cacheField>
    <cacheField name="Primary Route Mile Point" numFmtId="0">
      <sharedItems containsSemiMixedTypes="0" containsString="0" containsNumber="1" minValue="0" maxValue="40.01"/>
    </cacheField>
    <cacheField name="Corridor Priority" numFmtId="0">
      <sharedItems containsSemiMixedTypes="0" containsString="0" containsNumber="1" containsInteger="1" minValue="1" maxValue="5"/>
    </cacheField>
    <cacheField name="Factored AADT" numFmtId="0">
      <sharedItems containsSemiMixedTypes="0" containsString="0" containsNumber="1" minValue="356" maxValue="23788.5"/>
    </cacheField>
    <cacheField name="Speed Limit" numFmtId="0">
      <sharedItems containsString="0" containsBlank="1" containsNumber="1" containsInteger="1" minValue="25" maxValue="30"/>
    </cacheField>
    <cacheField name="Bicycle Yes/No" numFmtId="0">
      <sharedItems/>
    </cacheField>
    <cacheField name="Pedestrian Yes/No" numFmtId="0">
      <sharedItems/>
    </cacheField>
    <cacheField name="FARS Yes/No" numFmtId="0">
      <sharedItems containsBlank="1"/>
    </cacheField>
    <cacheField name="Motorcycle Yes/No" numFmtId="0">
      <sharedItems/>
    </cacheField>
    <cacheField name="School Bus Related" numFmtId="0">
      <sharedItems/>
    </cacheField>
    <cacheField name="In or Near Work Zone" numFmtId="0">
      <sharedItems/>
    </cacheField>
    <cacheField name="Unit Count" numFmtId="0">
      <sharedItems containsSemiMixedTypes="0" containsString="0" containsNumber="1" containsInteger="1" minValue="1" maxValue="3"/>
    </cacheField>
    <cacheField name="Person Count" numFmtId="0">
      <sharedItems containsSemiMixedTypes="0" containsString="0" containsNumber="1" containsInteger="1" minValue="1" maxValue="7"/>
    </cacheField>
    <cacheField name="Number of Injuries" numFmtId="0">
      <sharedItems containsSemiMixedTypes="0" containsString="0" containsNumber="1" containsInteger="1" minValue="0" maxValue="4"/>
    </cacheField>
    <cacheField name="K - Fatalities Count" numFmtId="0">
      <sharedItems containsSemiMixedTypes="0" containsString="0" containsNumber="1" containsInteger="1" minValue="0" maxValue="0"/>
    </cacheField>
    <cacheField name="A - Suspected Serious Injury Count" numFmtId="0">
      <sharedItems containsSemiMixedTypes="0" containsString="0" containsNumber="1" containsInteger="1" minValue="0" maxValue="1"/>
    </cacheField>
    <cacheField name="B - Suspected Minor Injuries Count" numFmtId="0">
      <sharedItems containsSemiMixedTypes="0" containsString="0" containsNumber="1" containsInteger="1" minValue="0" maxValue="4"/>
    </cacheField>
    <cacheField name="C - Possible Injuries Count" numFmtId="0">
      <sharedItems containsSemiMixedTypes="0" containsString="0" containsNumber="1" containsInteger="1" minValue="0" maxValue="3"/>
    </cacheField>
    <cacheField name="O/PD/PDO - No Apparent Injury Count" numFmtId="0">
      <sharedItems containsSemiMixedTypes="0" containsString="0" containsNumber="1" containsInteger="1" minValue="0" maxValue="7"/>
    </cacheField>
    <cacheField name="Injury Level" numFmtId="0">
      <sharedItems/>
    </cacheField>
    <cacheField name="Federal Urban Group Description" numFmtId="0">
      <sharedItems/>
    </cacheField>
    <cacheField name="Accident Hour" numFmtId="0">
      <sharedItems containsSemiMixedTypes="0" containsString="0" containsNumber="1" containsInteger="1" minValue="0" maxValue="23"/>
    </cacheField>
    <cacheField name="Traffic Control Device" numFmtId="0">
      <sharedItems/>
    </cacheField>
    <cacheField name="Speed Limit Source" numFmtId="0">
      <sharedItems/>
    </cacheField>
    <cacheField name="Day of Week Code" numFmtId="0">
      <sharedItems containsSemiMixedTypes="0" containsString="0" containsNumber="1" containsInteger="1" minValue="1" maxValue="7"/>
    </cacheField>
    <cacheField name="County Name" numFmtId="0">
      <sharedItems/>
    </cacheField>
    <cacheField name="Crash ID" numFmtId="0">
      <sharedItems/>
    </cacheField>
    <cacheField name="Reporting Agency Name" numFmtId="0">
      <sharedItems/>
    </cacheField>
    <cacheField name="Report Number" numFmtId="0">
      <sharedItems/>
    </cacheField>
    <cacheField name="Latitude" numFmtId="0">
      <sharedItems containsSemiMixedTypes="0" containsString="0" containsNumber="1" minValue="44.784970000000001" maxValue="44.797776910000003"/>
    </cacheField>
    <cacheField name="Longitude" numFmtId="0">
      <sharedItems containsSemiMixedTypes="0" containsString="0" containsNumber="1" minValue="-68.767150000000001" maxValue="-68.753138399999997"/>
    </cacheField>
    <cacheField name="Accident Month Number" numFmtId="0">
      <sharedItems containsSemiMixedTypes="0" containsString="0" containsNumber="1" containsInteger="1" minValue="1" maxValue="12"/>
    </cacheField>
    <cacheField name="Accident Month Name" numFmtId="0">
      <sharedItems/>
    </cacheField>
    <cacheField name="Towncode" numFmtId="0">
      <sharedItems/>
    </cacheField>
    <cacheField name="Element ID" numFmtId="0">
      <sharedItems containsSemiMixedTypes="0" containsString="0" containsNumber="1" containsInteger="1" minValue="218069" maxValue="4042173"/>
    </cacheField>
    <cacheField name="MDOT Region Code" numFmtId="0">
      <sharedItems containsSemiMixedTypes="0" containsString="0" containsNumber="1" containsInteger="1" minValue="4" maxValue="4"/>
    </cacheField>
    <cacheField name="MDOT Region Name" numFmtId="0">
      <sharedItems/>
    </cacheField>
    <cacheField name="State Urban Rural" numFmtId="0">
      <sharedItems/>
    </cacheField>
    <cacheField name="State Urban Rural Desc" numFmtId="0">
      <sharedItems/>
    </cacheField>
    <cacheField name="Element/Node" numFmtId="0">
      <sharedItems/>
    </cacheField>
    <cacheField name="objectid" numFmtId="0">
      <sharedItems containsSemiMixedTypes="0" containsString="0" containsNumber="1" containsInteger="1" minValue="1741" maxValue="335631"/>
    </cacheField>
    <cacheField name="Offset" numFmtId="0">
      <sharedItems containsSemiMixedTypes="0" containsString="0" containsNumber="1" minValue="0" maxValue="0.14000000000000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8">
  <r>
    <x v="0"/>
    <s v="2023-21488"/>
    <d v="2023-07-25T00:00:00"/>
    <s v="Brewer"/>
    <s v="Tuesday  "/>
    <s v="09:58:00"/>
    <x v="0"/>
    <s v="None"/>
    <s v="Daylight"/>
    <s v="Intersection Movement"/>
    <s v="Four Leg Intersection"/>
    <s v="Dry"/>
    <s v="Clear"/>
    <s v="Yes"/>
    <s v="No Contributing Action"/>
    <m/>
    <s v="No Contributing Action"/>
    <m/>
    <n v="39690"/>
    <s v="0009B"/>
    <s v="ST RTE 9B"/>
    <n v="10.28"/>
    <n v="1"/>
    <n v="22335.5"/>
    <m/>
    <s v="N"/>
    <s v="N"/>
    <m/>
    <s v="N"/>
    <s v="No"/>
    <s v="Yes"/>
    <n v="2"/>
    <n v="2"/>
    <n v="0"/>
    <n v="0"/>
    <n v="0"/>
    <n v="0"/>
    <n v="0"/>
    <n v="2"/>
    <s v="PD"/>
    <s v="BACTS"/>
    <n v="9"/>
    <s v="Traffic Signals (Stop &amp; Go)"/>
    <s v="Unknown"/>
    <n v="3"/>
    <s v="Penobscot"/>
    <s v="2023-21488"/>
    <s v="BREWER POLICE DEPARTMENT"/>
    <s v="23-057199"/>
    <n v="44.797049169999987"/>
    <n v="-68.761350610000008"/>
    <n v="7"/>
    <s v="July"/>
    <s v="19050"/>
    <n v="4041936"/>
    <n v="4"/>
    <s v="4 - Eastern Region"/>
    <s v="2"/>
    <s v="Urban"/>
    <s v="NODE"/>
    <n v="1741"/>
    <n v="0"/>
  </r>
  <r>
    <x v="0"/>
    <s v="2026-1541"/>
    <d v="2026-01-16T00:00:00"/>
    <s v="Brewer"/>
    <s v="Friday   "/>
    <s v="16:02:00"/>
    <x v="1"/>
    <s v="None"/>
    <s v="Dusk"/>
    <s v="Rear End / Sideswipe"/>
    <s v="Four Leg Intersection"/>
    <s v="Dry"/>
    <s v="Clear"/>
    <s v="Yes"/>
    <s v="Followed Too Closely"/>
    <m/>
    <s v="No Contributing Action"/>
    <m/>
    <n v="39690"/>
    <s v="0009B"/>
    <s v="ST RTE 9B"/>
    <n v="10.28"/>
    <n v="1"/>
    <n v="22335.5"/>
    <m/>
    <s v="N"/>
    <s v="N"/>
    <m/>
    <s v="N"/>
    <s v="No"/>
    <s v="No"/>
    <n v="2"/>
    <n v="2"/>
    <n v="0"/>
    <n v="0"/>
    <n v="0"/>
    <n v="0"/>
    <n v="0"/>
    <n v="2"/>
    <s v="PD"/>
    <s v="BACTS"/>
    <n v="16"/>
    <s v="Traffic Signals (Stop &amp; Go)"/>
    <s v="Unknown"/>
    <n v="6"/>
    <s v="Penobscot"/>
    <s v="2026-01541"/>
    <s v="BREWER POLICE DEPARTMENT"/>
    <s v="26-003455"/>
    <n v="44.797049169999987"/>
    <n v="-68.761350610000008"/>
    <n v="1"/>
    <s v="January"/>
    <s v="19050"/>
    <n v="4041936"/>
    <n v="4"/>
    <s v="4 - Eastern Region"/>
    <s v="2"/>
    <s v="Urban"/>
    <s v="NODE"/>
    <n v="2917"/>
    <n v="0"/>
  </r>
  <r>
    <x v="0"/>
    <s v="2018-3379"/>
    <d v="2018-01-25T00:00:00"/>
    <s v="Brewer"/>
    <s v="Thursday"/>
    <s v="15:20:00"/>
    <x v="2"/>
    <s v="None"/>
    <s v="Daylight"/>
    <s v="Intersection Movement"/>
    <s v="Four Leg Intersection"/>
    <s v="Dry"/>
    <s v="Clear"/>
    <s v="Yes"/>
    <s v="Ran Red Light"/>
    <m/>
    <s v="No Contributing Action"/>
    <m/>
    <n v="39690"/>
    <s v="0009B"/>
    <s v="ST RTE 9B"/>
    <n v="10.28"/>
    <n v="1"/>
    <n v="22335.5"/>
    <m/>
    <s v="N"/>
    <s v="N"/>
    <s v="N"/>
    <s v="N"/>
    <s v="No"/>
    <s v="No"/>
    <n v="2"/>
    <n v="4"/>
    <n v="1"/>
    <n v="0"/>
    <n v="0"/>
    <n v="0"/>
    <n v="1"/>
    <n v="3"/>
    <s v="C"/>
    <s v="BACTS"/>
    <n v="15"/>
    <s v="Traffic Signals (Stop &amp; Go)"/>
    <s v="Unknown"/>
    <n v="5"/>
    <s v="Penobscot"/>
    <s v="2018-03379"/>
    <s v="BREWER POLICE DEPARTMENT"/>
    <s v="18-006237"/>
    <n v="44.797049169999987"/>
    <n v="-68.761350610000008"/>
    <n v="1"/>
    <s v="January"/>
    <s v="19050"/>
    <n v="4041936"/>
    <n v="4"/>
    <s v="4 - Eastern Region"/>
    <s v="2"/>
    <s v="Urban"/>
    <s v="NODE"/>
    <n v="7845"/>
    <n v="0"/>
  </r>
  <r>
    <x v="0"/>
    <s v="2022-4179"/>
    <d v="2022-01-31T00:00:00"/>
    <s v="Brewer"/>
    <s v="Monday"/>
    <s v="14:12:00"/>
    <x v="3"/>
    <s v="None"/>
    <s v="Daylight"/>
    <s v="Rear End / Sideswipe"/>
    <s v="Three Leg Intersection"/>
    <s v="Wet"/>
    <s v="Clear"/>
    <s v="Yes"/>
    <s v="Followed Too Closely"/>
    <m/>
    <s v="No Contributing Action"/>
    <m/>
    <n v="39690"/>
    <s v="0009B"/>
    <s v="ST RTE 9B"/>
    <n v="10.28"/>
    <n v="1"/>
    <n v="22335.5"/>
    <m/>
    <s v="N"/>
    <s v="N"/>
    <s v="N"/>
    <s v="N"/>
    <s v="No"/>
    <s v="No"/>
    <n v="2"/>
    <n v="2"/>
    <n v="0"/>
    <n v="0"/>
    <n v="0"/>
    <n v="0"/>
    <n v="0"/>
    <n v="2"/>
    <s v="PD"/>
    <s v="BACTS"/>
    <n v="14"/>
    <s v="Yield Sign"/>
    <s v="Unknown"/>
    <n v="2"/>
    <s v="Penobscot"/>
    <s v="2022-04179"/>
    <s v="BREWER POLICE DEPARTMENT"/>
    <s v="22-007620"/>
    <n v="44.797342489999998"/>
    <n v="-68.761545810000001"/>
    <n v="1"/>
    <s v="January"/>
    <s v="19050"/>
    <n v="4041936"/>
    <n v="4"/>
    <s v="4 - Eastern Region"/>
    <s v="2"/>
    <s v="Urban"/>
    <s v="NODE"/>
    <n v="9020"/>
    <n v="0"/>
  </r>
  <r>
    <x v="0"/>
    <s v="2023-36006"/>
    <d v="2023-12-01T00:00:00"/>
    <s v="Brewer"/>
    <s v="Friday   "/>
    <s v="17:11:00"/>
    <x v="0"/>
    <s v="None"/>
    <s v="Dark - Lighted"/>
    <s v="Rear End / Sideswipe"/>
    <s v="Four Leg Intersection"/>
    <s v="Dry"/>
    <s v="Clear"/>
    <s v="Yes"/>
    <s v="Followed Too Closely"/>
    <m/>
    <s v="No Contributing Action"/>
    <m/>
    <n v="39690"/>
    <s v="0009B"/>
    <s v="ST RTE 9B"/>
    <n v="10.28"/>
    <n v="1"/>
    <n v="22335.5"/>
    <m/>
    <s v="N"/>
    <s v="N"/>
    <m/>
    <s v="N"/>
    <s v="No"/>
    <s v="No"/>
    <n v="2"/>
    <n v="3"/>
    <n v="0"/>
    <n v="0"/>
    <n v="0"/>
    <n v="0"/>
    <n v="0"/>
    <n v="3"/>
    <s v="PD"/>
    <s v="BACTS"/>
    <n v="17"/>
    <s v="Traffic Signals (Stop &amp; Go)"/>
    <s v="Unknown"/>
    <n v="6"/>
    <s v="Penobscot"/>
    <s v="2023-36006"/>
    <s v="BREWER POLICE DEPARTMENT"/>
    <s v="23-093981"/>
    <n v="44.797049169999987"/>
    <n v="-68.761350610000008"/>
    <n v="12"/>
    <s v="December"/>
    <s v="19050"/>
    <n v="4041936"/>
    <n v="4"/>
    <s v="4 - Eastern Region"/>
    <s v="2"/>
    <s v="Urban"/>
    <s v="NODE"/>
    <n v="11187"/>
    <n v="0"/>
  </r>
  <r>
    <x v="0"/>
    <s v="2024-1654"/>
    <d v="2024-01-08T00:00:00"/>
    <s v="Brewer"/>
    <s v="Monday   "/>
    <s v="17:56:00"/>
    <x v="4"/>
    <s v="None"/>
    <s v="Dark - Lighted"/>
    <s v="Rear End / Sideswipe"/>
    <s v="Four Leg Intersection"/>
    <s v="Dry"/>
    <s v="Clear"/>
    <s v="Yes"/>
    <m/>
    <m/>
    <s v="No Contributing Action"/>
    <m/>
    <n v="39690"/>
    <s v="0009B"/>
    <s v="ST RTE 9B"/>
    <n v="10.28"/>
    <n v="1"/>
    <n v="22335.5"/>
    <m/>
    <s v="N"/>
    <s v="N"/>
    <m/>
    <s v="N"/>
    <s v="No"/>
    <s v="No"/>
    <n v="2"/>
    <n v="1"/>
    <n v="0"/>
    <n v="0"/>
    <n v="0"/>
    <n v="0"/>
    <n v="0"/>
    <n v="1"/>
    <s v="PD"/>
    <s v="BACTS"/>
    <n v="17"/>
    <s v="Traffic Signals (Stop &amp; Go)"/>
    <s v="Unknown"/>
    <n v="2"/>
    <s v="Penobscot"/>
    <s v="2024-01654"/>
    <s v="BREWER POLICE DEPARTMENT"/>
    <s v="24-001853"/>
    <n v="44.797049169999987"/>
    <n v="-68.761350610000008"/>
    <n v="1"/>
    <s v="January"/>
    <s v="19050"/>
    <n v="4041936"/>
    <n v="4"/>
    <s v="4 - Eastern Region"/>
    <s v="2"/>
    <s v="Urban"/>
    <s v="NODE"/>
    <n v="18233"/>
    <n v="0"/>
  </r>
  <r>
    <x v="0"/>
    <s v="2018-22023"/>
    <d v="2018-06-12T00:00:00"/>
    <s v="Brewer"/>
    <s v="Tuesday"/>
    <s v="11:14:00"/>
    <x v="2"/>
    <s v="None"/>
    <s v="Daylight"/>
    <s v="Intersection Movement"/>
    <s v="Four Leg Intersection"/>
    <s v="Dry"/>
    <s v="Clear"/>
    <s v="Yes"/>
    <s v="Ran Red Light"/>
    <m/>
    <s v="No Contributing Action"/>
    <m/>
    <n v="39690"/>
    <s v="0009B"/>
    <s v="ST RTE 9B"/>
    <n v="10.28"/>
    <n v="1"/>
    <n v="22335.5"/>
    <m/>
    <s v="N"/>
    <s v="N"/>
    <s v="N"/>
    <s v="N"/>
    <s v="No"/>
    <s v="No"/>
    <n v="2"/>
    <n v="3"/>
    <n v="0"/>
    <n v="0"/>
    <n v="0"/>
    <n v="0"/>
    <n v="0"/>
    <n v="3"/>
    <s v="PD"/>
    <s v="BACTS"/>
    <n v="11"/>
    <s v="Traffic Signals (Stop &amp; Go)"/>
    <s v="Unknown"/>
    <n v="3"/>
    <s v="Penobscot"/>
    <s v="2018-22023"/>
    <s v="BREWER POLICE DEPARTMENT"/>
    <s v="18-044581"/>
    <n v="44.797049169999987"/>
    <n v="-68.761350610000008"/>
    <n v="6"/>
    <s v="June"/>
    <s v="19050"/>
    <n v="4041936"/>
    <n v="4"/>
    <s v="4 - Eastern Region"/>
    <s v="2"/>
    <s v="Urban"/>
    <s v="NODE"/>
    <n v="21451"/>
    <n v="0"/>
  </r>
  <r>
    <x v="0"/>
    <s v="2018-30175"/>
    <d v="2018-10-08T00:00:00"/>
    <s v="Brewer"/>
    <s v="Monday"/>
    <s v="12:47:00"/>
    <x v="2"/>
    <s v="None"/>
    <s v="Daylight"/>
    <s v="Rear End / Sideswipe"/>
    <s v="Four Leg Intersection"/>
    <s v="Dry"/>
    <s v="Clear"/>
    <s v="Yes"/>
    <m/>
    <m/>
    <s v="No Contributing Action"/>
    <m/>
    <n v="39690"/>
    <s v="0009B"/>
    <s v="ST RTE 9B"/>
    <n v="10.28"/>
    <n v="1"/>
    <n v="22335.5"/>
    <m/>
    <s v="N"/>
    <s v="N"/>
    <s v="N"/>
    <s v="N"/>
    <s v="No"/>
    <s v="No"/>
    <n v="2"/>
    <n v="1"/>
    <n v="0"/>
    <n v="0"/>
    <n v="0"/>
    <n v="0"/>
    <n v="0"/>
    <n v="1"/>
    <s v="PD"/>
    <s v="BACTS"/>
    <n v="12"/>
    <s v="Traffic Signals (Stop &amp; Go)"/>
    <s v="Unknown"/>
    <n v="2"/>
    <s v="Penobscot"/>
    <s v="2018-30175"/>
    <s v="BREWER POLICE DEPARTMENT"/>
    <s v="18-081504"/>
    <n v="44.797049169999987"/>
    <n v="-68.761350610000008"/>
    <n v="10"/>
    <s v="October"/>
    <s v="19050"/>
    <n v="4041936"/>
    <n v="4"/>
    <s v="4 - Eastern Region"/>
    <s v="2"/>
    <s v="Urban"/>
    <s v="NODE"/>
    <n v="26476"/>
    <n v="0"/>
  </r>
  <r>
    <x v="0"/>
    <s v="2020-27383"/>
    <d v="2020-11-10T00:00:00"/>
    <s v="Brewer"/>
    <s v="Tuesday"/>
    <s v="13:42:00"/>
    <x v="5"/>
    <s v="None"/>
    <s v="Daylight"/>
    <s v="Rear End / Sideswipe"/>
    <s v="Straight Road"/>
    <s v="Dry"/>
    <s v="Clear"/>
    <m/>
    <s v="Improper Passing"/>
    <m/>
    <s v="No Contributing Action"/>
    <m/>
    <m/>
    <s v="0009B"/>
    <s v="ST RTE 9B"/>
    <n v="10.34"/>
    <n v="2"/>
    <n v="12872"/>
    <n v="25"/>
    <s v="N"/>
    <s v="N"/>
    <s v="N"/>
    <s v="N"/>
    <s v="No"/>
    <s v="No"/>
    <n v="2"/>
    <n v="2"/>
    <n v="0"/>
    <n v="0"/>
    <n v="0"/>
    <n v="0"/>
    <n v="0"/>
    <n v="2"/>
    <s v="PD"/>
    <s v="BACTS"/>
    <n v="13"/>
    <s v="None"/>
    <s v="Posted"/>
    <n v="3"/>
    <s v="Penobscot"/>
    <s v="2020-27383"/>
    <s v="BREWER POLICE DEPARTMENT"/>
    <s v="20-086796"/>
    <n v="44.797604550000003"/>
    <n v="-68.760318830000003"/>
    <n v="11"/>
    <s v="November"/>
    <s v="19050"/>
    <n v="4041934"/>
    <n v="4"/>
    <s v="4 - Eastern Region"/>
    <s v="2"/>
    <s v="Urban"/>
    <s v="ELEMENT"/>
    <n v="37622"/>
    <n v="0.01"/>
  </r>
  <r>
    <x v="0"/>
    <s v="2023-3634"/>
    <d v="2023-01-12T00:00:00"/>
    <s v="Brewer"/>
    <s v="Thursday"/>
    <s v="13:30:00"/>
    <x v="0"/>
    <s v="None"/>
    <s v="Daylight"/>
    <s v="Rear End / Sideswipe"/>
    <s v="Four Leg Intersection"/>
    <s v="Dry"/>
    <s v="Cloudy"/>
    <s v="Yes"/>
    <s v="Other Contributing Action"/>
    <m/>
    <s v="No Contributing Action"/>
    <m/>
    <n v="39690"/>
    <s v="0009B"/>
    <s v="ST RTE 9B"/>
    <n v="10.28"/>
    <n v="1"/>
    <n v="22335.5"/>
    <m/>
    <s v="N"/>
    <s v="N"/>
    <m/>
    <s v="N"/>
    <s v="No"/>
    <s v="No"/>
    <n v="2"/>
    <n v="2"/>
    <n v="0"/>
    <n v="0"/>
    <n v="0"/>
    <n v="0"/>
    <n v="0"/>
    <n v="2"/>
    <s v="PD"/>
    <s v="BACTS"/>
    <n v="13"/>
    <s v="Traffic Signals (Stop &amp; Go)"/>
    <s v="Unknown"/>
    <n v="5"/>
    <s v="Penobscot"/>
    <s v="2023-03634"/>
    <s v="BREWER POLICE DEPARTMENT"/>
    <s v="23-002763"/>
    <n v="44.797049169999987"/>
    <n v="-68.761350610000008"/>
    <n v="1"/>
    <s v="January"/>
    <s v="19050"/>
    <n v="4041936"/>
    <n v="4"/>
    <s v="4 - Eastern Region"/>
    <s v="2"/>
    <s v="Urban"/>
    <s v="NODE"/>
    <n v="43357"/>
    <n v="0"/>
  </r>
  <r>
    <x v="0"/>
    <s v="2024-2084"/>
    <d v="2024-01-20T00:00:00"/>
    <s v="Brewer"/>
    <s v="Saturday "/>
    <s v="19:37:00"/>
    <x v="4"/>
    <s v="None"/>
    <s v="Dark - Not Lighted"/>
    <s v="Intersection Movement"/>
    <s v="Four Leg Intersection"/>
    <s v="Dry"/>
    <s v="Clear"/>
    <s v="Yes"/>
    <s v="Ran Red Light"/>
    <m/>
    <s v="No Contributing Action"/>
    <m/>
    <n v="39690"/>
    <s v="0009B"/>
    <s v="ST RTE 9B"/>
    <n v="10.28"/>
    <n v="1"/>
    <n v="22335.5"/>
    <m/>
    <s v="N"/>
    <s v="N"/>
    <m/>
    <s v="N"/>
    <s v="No"/>
    <s v="No"/>
    <n v="2"/>
    <n v="4"/>
    <n v="0"/>
    <n v="0"/>
    <n v="0"/>
    <n v="0"/>
    <n v="0"/>
    <n v="4"/>
    <s v="PD"/>
    <s v="BACTS"/>
    <n v="19"/>
    <s v="Traffic Signals (Stop &amp; Go)"/>
    <s v="Unknown"/>
    <n v="7"/>
    <s v="Penobscot"/>
    <s v="2024-02084"/>
    <s v="BREWER POLICE DEPARTMENT"/>
    <s v="24-004663"/>
    <n v="44.797049169999987"/>
    <n v="-68.761350610000008"/>
    <n v="1"/>
    <s v="January"/>
    <s v="19050"/>
    <n v="4041936"/>
    <n v="4"/>
    <s v="4 - Eastern Region"/>
    <s v="2"/>
    <s v="Urban"/>
    <s v="NODE"/>
    <n v="43953"/>
    <n v="0"/>
  </r>
  <r>
    <x v="0"/>
    <s v="2024-27979"/>
    <d v="2024-10-09T00:00:00"/>
    <s v="Brewer"/>
    <s v="Wednesday"/>
    <s v="16:45:00"/>
    <x v="4"/>
    <s v="None"/>
    <s v="Daylight"/>
    <s v="Intersection Movement"/>
    <s v="Driveways"/>
    <s v="Dry"/>
    <s v="Clear"/>
    <m/>
    <s v="Failed to Yield Right-of-Way"/>
    <m/>
    <s v="Unknown"/>
    <m/>
    <m/>
    <s v="0009B"/>
    <s v="ST RTE 9B"/>
    <n v="10.33"/>
    <n v="2"/>
    <n v="12872"/>
    <n v="25"/>
    <s v="N"/>
    <s v="N"/>
    <m/>
    <s v="N"/>
    <s v="No"/>
    <s v="No"/>
    <n v="2"/>
    <n v="2"/>
    <n v="0"/>
    <n v="0"/>
    <n v="0"/>
    <n v="0"/>
    <n v="0"/>
    <n v="2"/>
    <s v="PD"/>
    <s v="BACTS"/>
    <n v="16"/>
    <s v="None"/>
    <s v="Posted"/>
    <n v="4"/>
    <s v="Penobscot"/>
    <s v="2024-27979"/>
    <s v="BREWER POLICE DEPARTMENT"/>
    <s v="24-076725"/>
    <n v="44.797473710000013"/>
    <n v="-68.760563649999995"/>
    <n v="10"/>
    <s v="October"/>
    <s v="19050"/>
    <n v="4041934"/>
    <n v="4"/>
    <s v="4 - Eastern Region"/>
    <s v="2"/>
    <s v="Urban"/>
    <s v="ELEMENT"/>
    <n v="47333"/>
    <n v="0.02"/>
  </r>
  <r>
    <x v="0"/>
    <s v="2019-75488"/>
    <d v="2019-11-30T00:00:00"/>
    <s v="Brewer"/>
    <s v="Saturday"/>
    <s v="12:34:00"/>
    <x v="6"/>
    <s v="None"/>
    <s v="Daylight"/>
    <s v="Rear End / Sideswipe"/>
    <s v="Straight Road"/>
    <s v="Dry"/>
    <s v="Clear"/>
    <m/>
    <s v="Followed Too Closely"/>
    <m/>
    <s v="No Contributing Action"/>
    <m/>
    <m/>
    <s v="0009B"/>
    <s v="ST RTE 9B"/>
    <n v="10.33"/>
    <n v="2"/>
    <n v="12872"/>
    <n v="25"/>
    <s v="N"/>
    <s v="N"/>
    <s v="N"/>
    <s v="N"/>
    <s v="No"/>
    <s v="No"/>
    <n v="2"/>
    <n v="4"/>
    <n v="0"/>
    <n v="0"/>
    <n v="0"/>
    <n v="0"/>
    <n v="0"/>
    <n v="4"/>
    <s v="PD"/>
    <s v="BACTS"/>
    <n v="12"/>
    <s v="None"/>
    <s v="Posted"/>
    <n v="7"/>
    <s v="Penobscot"/>
    <s v="2019-75488"/>
    <s v="BREWER POLICE DEPARTMENT"/>
    <s v="19-098137"/>
    <n v="44.797499999999999"/>
    <n v="-68.760509999999996"/>
    <n v="11"/>
    <s v="November"/>
    <s v="19050"/>
    <n v="4041934"/>
    <n v="4"/>
    <s v="4 - Eastern Region"/>
    <s v="2"/>
    <s v="Urban"/>
    <s v="ELEMENT"/>
    <n v="49392"/>
    <n v="0.02"/>
  </r>
  <r>
    <x v="0"/>
    <s v="2019-75109"/>
    <d v="2019-12-02T00:00:00"/>
    <s v="Brewer"/>
    <s v="Monday"/>
    <s v="16:30:00"/>
    <x v="6"/>
    <s v="None"/>
    <s v="Dusk"/>
    <s v="Rear End / Sideswipe"/>
    <s v="Four Leg Intersection"/>
    <s v="Dry"/>
    <s v="Clear"/>
    <s v="Yes"/>
    <s v="Followed Too Closely"/>
    <m/>
    <s v="No Contributing Action"/>
    <m/>
    <n v="39690"/>
    <s v="0009B"/>
    <s v="ST RTE 9B"/>
    <n v="10.28"/>
    <n v="1"/>
    <n v="22335.5"/>
    <m/>
    <s v="N"/>
    <s v="N"/>
    <s v="N"/>
    <s v="N"/>
    <s v="No"/>
    <s v="No"/>
    <n v="2"/>
    <n v="3"/>
    <n v="1"/>
    <n v="0"/>
    <n v="0"/>
    <n v="0"/>
    <n v="1"/>
    <n v="2"/>
    <s v="C"/>
    <s v="BACTS"/>
    <n v="16"/>
    <s v="Traffic Signals (Stop &amp; Go)"/>
    <s v="Unknown"/>
    <n v="2"/>
    <s v="Penobscot"/>
    <s v="2019-75109"/>
    <s v="BREWER POLICE DEPARTMENT"/>
    <s v="19-098704"/>
    <n v="44.797049169999987"/>
    <n v="-68.761350610000008"/>
    <n v="12"/>
    <s v="December"/>
    <s v="19050"/>
    <n v="4041936"/>
    <n v="4"/>
    <s v="4 - Eastern Region"/>
    <s v="2"/>
    <s v="Urban"/>
    <s v="NODE"/>
    <n v="50788"/>
    <n v="0"/>
  </r>
  <r>
    <x v="0"/>
    <s v="2022-17706"/>
    <d v="2022-06-18T00:00:00"/>
    <s v="Brewer"/>
    <s v="Saturday"/>
    <s v="17:58:00"/>
    <x v="3"/>
    <s v="None"/>
    <s v="Daylight"/>
    <s v="Rear End / Sideswipe"/>
    <s v="Four Leg Intersection"/>
    <s v="Dry"/>
    <s v="Clear"/>
    <s v="Yes"/>
    <s v="Operated Motor Vehicle in Erratic, Reckless, Careless, Negligent or Aggressive Manner"/>
    <m/>
    <s v="No Contributing Action"/>
    <m/>
    <n v="39690"/>
    <s v="0009B"/>
    <s v="ST RTE 9B"/>
    <n v="10.28"/>
    <n v="1"/>
    <n v="22335.5"/>
    <m/>
    <s v="N"/>
    <s v="N"/>
    <s v="N"/>
    <s v="N"/>
    <s v="No"/>
    <s v="No"/>
    <n v="2"/>
    <n v="3"/>
    <n v="1"/>
    <n v="0"/>
    <n v="0"/>
    <n v="0"/>
    <n v="1"/>
    <n v="2"/>
    <s v="C"/>
    <s v="BACTS"/>
    <n v="17"/>
    <s v="Traffic Signals (Stop &amp; Go)"/>
    <s v="Unknown"/>
    <n v="7"/>
    <s v="Penobscot"/>
    <s v="2022-17706"/>
    <s v="BREWER POLICE DEPARTMENT"/>
    <s v="22-044480"/>
    <n v="44.797049169999987"/>
    <n v="-68.761350610000008"/>
    <n v="6"/>
    <s v="June"/>
    <s v="19050"/>
    <n v="4041936"/>
    <n v="4"/>
    <s v="4 - Eastern Region"/>
    <s v="2"/>
    <s v="Urban"/>
    <s v="NODE"/>
    <n v="54044"/>
    <n v="0"/>
  </r>
  <r>
    <x v="0"/>
    <s v="2024-2083"/>
    <d v="2024-01-16T00:00:00"/>
    <s v="Brewer"/>
    <s v="Tuesday  "/>
    <s v="16:53:00"/>
    <x v="4"/>
    <s v="None"/>
    <s v="Dark - Lighted"/>
    <s v="Intersection Movement"/>
    <s v="Four Leg Intersection"/>
    <s v="Snow"/>
    <s v="Snow"/>
    <s v="Yes"/>
    <m/>
    <m/>
    <s v="No Contributing Action"/>
    <m/>
    <n v="39690"/>
    <s v="0009B"/>
    <s v="ST RTE 9B"/>
    <n v="10.28"/>
    <n v="1"/>
    <n v="22335.5"/>
    <m/>
    <s v="N"/>
    <s v="N"/>
    <m/>
    <s v="N"/>
    <s v="No"/>
    <s v="No"/>
    <n v="2"/>
    <n v="1"/>
    <n v="0"/>
    <n v="0"/>
    <n v="0"/>
    <n v="0"/>
    <n v="0"/>
    <n v="1"/>
    <s v="PD"/>
    <s v="BACTS"/>
    <n v="16"/>
    <s v="Traffic Signals (Stop &amp; Go)"/>
    <s v="Unknown"/>
    <n v="3"/>
    <s v="Penobscot"/>
    <s v="2024-02083"/>
    <s v="BREWER POLICE DEPARTMENT"/>
    <s v="24-003805"/>
    <n v="44.797049169999987"/>
    <n v="-68.761350610000008"/>
    <n v="1"/>
    <s v="January"/>
    <s v="19050"/>
    <n v="4041936"/>
    <n v="4"/>
    <s v="4 - Eastern Region"/>
    <s v="2"/>
    <s v="Urban"/>
    <s v="NODE"/>
    <n v="62739"/>
    <n v="0"/>
  </r>
  <r>
    <x v="0"/>
    <s v="2020-13483"/>
    <d v="2020-05-31T00:00:00"/>
    <s v="Brewer"/>
    <s v="Sunday"/>
    <s v="15:01:00"/>
    <x v="5"/>
    <s v="None"/>
    <s v="Daylight"/>
    <s v="Rear End / Sideswipe"/>
    <s v="Straight Road"/>
    <s v="Dry"/>
    <s v="Clear"/>
    <m/>
    <s v="Followed Too Closely"/>
    <m/>
    <s v="No Contributing Action"/>
    <m/>
    <m/>
    <s v="0009B"/>
    <s v="ST RTE 9B"/>
    <n v="10.34"/>
    <n v="2"/>
    <n v="12872"/>
    <n v="25"/>
    <s v="N"/>
    <s v="N"/>
    <s v="N"/>
    <s v="N"/>
    <s v="No"/>
    <s v="No"/>
    <n v="2"/>
    <n v="2"/>
    <n v="0"/>
    <n v="0"/>
    <n v="0"/>
    <n v="0"/>
    <n v="0"/>
    <n v="2"/>
    <s v="PD"/>
    <s v="BACTS"/>
    <n v="15"/>
    <s v="None"/>
    <s v="Posted"/>
    <n v="1"/>
    <s v="Penobscot"/>
    <s v="2020-13483"/>
    <s v="BREWER POLICE DEPARTMENT"/>
    <s v="20-040034"/>
    <n v="44.797604420000013"/>
    <n v="-68.760319080000002"/>
    <n v="5"/>
    <s v="May"/>
    <s v="19050"/>
    <n v="4041934"/>
    <n v="4"/>
    <s v="4 - Eastern Region"/>
    <s v="2"/>
    <s v="Urban"/>
    <s v="ELEMENT"/>
    <n v="70964"/>
    <n v="0.01"/>
  </r>
  <r>
    <x v="0"/>
    <s v="2024-25999"/>
    <d v="2024-09-18T00:00:00"/>
    <s v="Brewer"/>
    <s v="Wednesday"/>
    <s v="10:53:00"/>
    <x v="4"/>
    <s v="None"/>
    <s v="Daylight"/>
    <s v="Intersection Movement"/>
    <s v="Four Leg Intersection"/>
    <s v="Dry"/>
    <s v="Clear"/>
    <s v="Yes"/>
    <s v="Ran Red Light"/>
    <m/>
    <s v="No Contributing Action"/>
    <m/>
    <n v="39690"/>
    <s v="0009B"/>
    <s v="ST RTE 9B"/>
    <n v="10.28"/>
    <n v="1"/>
    <n v="22335.5"/>
    <m/>
    <s v="N"/>
    <s v="N"/>
    <m/>
    <s v="N"/>
    <s v="No"/>
    <s v="No"/>
    <n v="2"/>
    <n v="3"/>
    <n v="0"/>
    <n v="0"/>
    <n v="0"/>
    <n v="0"/>
    <n v="0"/>
    <n v="3"/>
    <s v="PD"/>
    <s v="BACTS"/>
    <n v="10"/>
    <s v="Traffic Signals (Stop &amp; Go)"/>
    <s v="Unknown"/>
    <n v="4"/>
    <s v="Penobscot"/>
    <s v="2024-25999"/>
    <s v="BREWER POLICE DEPARTMENT"/>
    <s v="24-070605"/>
    <n v="44.797049169999987"/>
    <n v="-68.761350610000008"/>
    <n v="9"/>
    <s v="September"/>
    <s v="19050"/>
    <n v="4041936"/>
    <n v="4"/>
    <s v="4 - Eastern Region"/>
    <s v="2"/>
    <s v="Urban"/>
    <s v="NODE"/>
    <n v="71173"/>
    <n v="0"/>
  </r>
  <r>
    <x v="0"/>
    <s v="2024-9176"/>
    <d v="2024-04-02T00:00:00"/>
    <s v="Brewer"/>
    <s v="Tuesday  "/>
    <s v="15:47:00"/>
    <x v="4"/>
    <s v="None"/>
    <s v="Daylight"/>
    <s v="Rear End / Sideswipe"/>
    <s v="Four Leg Intersection"/>
    <s v="Dry"/>
    <s v="Clear"/>
    <s v="Yes"/>
    <m/>
    <m/>
    <s v="No Contributing Action"/>
    <m/>
    <n v="39690"/>
    <s v="0009B"/>
    <s v="ST RTE 9B"/>
    <n v="10.28"/>
    <n v="1"/>
    <n v="22335.5"/>
    <m/>
    <s v="N"/>
    <s v="N"/>
    <m/>
    <s v="N"/>
    <s v="No"/>
    <s v="No"/>
    <n v="2"/>
    <n v="4"/>
    <n v="0"/>
    <n v="0"/>
    <n v="0"/>
    <n v="0"/>
    <n v="0"/>
    <n v="3"/>
    <s v="PD"/>
    <s v="BACTS"/>
    <n v="15"/>
    <s v="Traffic Signals (Stop &amp; Go)"/>
    <s v="Unknown"/>
    <n v="3"/>
    <s v="Penobscot"/>
    <s v="2024-09176"/>
    <s v="BREWER POLICE DEPARTMENT"/>
    <s v="24-023025"/>
    <n v="44.797049169999987"/>
    <n v="-68.761350610000008"/>
    <n v="4"/>
    <s v="April"/>
    <s v="19050"/>
    <n v="4041936"/>
    <n v="4"/>
    <s v="4 - Eastern Region"/>
    <s v="2"/>
    <s v="Urban"/>
    <s v="NODE"/>
    <n v="79045"/>
    <n v="0"/>
  </r>
  <r>
    <x v="0"/>
    <s v="2021-11771"/>
    <d v="2021-05-17T00:00:00"/>
    <s v="Brewer"/>
    <s v="Monday"/>
    <s v="11:10:00"/>
    <x v="7"/>
    <s v="None"/>
    <s v="Daylight"/>
    <s v="Rear End / Sideswipe"/>
    <s v="Four Leg Intersection"/>
    <s v="Dry"/>
    <s v="Clear"/>
    <s v="Yes"/>
    <s v="Failed to Keep in Proper Lane"/>
    <m/>
    <s v="No Contributing Action"/>
    <m/>
    <n v="39690"/>
    <s v="0009B"/>
    <s v="ST RTE 9B"/>
    <n v="10.28"/>
    <n v="1"/>
    <n v="22335.5"/>
    <m/>
    <s v="N"/>
    <s v="N"/>
    <s v="N"/>
    <s v="N"/>
    <s v="No"/>
    <s v="No"/>
    <n v="2"/>
    <n v="3"/>
    <n v="0"/>
    <n v="0"/>
    <n v="0"/>
    <n v="0"/>
    <n v="0"/>
    <n v="3"/>
    <s v="PD"/>
    <s v="BACTS"/>
    <n v="11"/>
    <s v="Traffic Signals (Stop &amp; Go)"/>
    <s v="Unknown"/>
    <n v="2"/>
    <s v="Penobscot"/>
    <s v="2021-11771"/>
    <s v="BREWER POLICE DEPARTMENT"/>
    <s v="21-034042"/>
    <n v="44.797049169999987"/>
    <n v="-68.761350610000008"/>
    <n v="5"/>
    <s v="May"/>
    <s v="19050"/>
    <n v="4041936"/>
    <n v="4"/>
    <s v="4 - Eastern Region"/>
    <s v="2"/>
    <s v="Urban"/>
    <s v="NODE"/>
    <n v="83433"/>
    <n v="0"/>
  </r>
  <r>
    <x v="0"/>
    <s v="2019-50942"/>
    <d v="2019-04-30T00:00:00"/>
    <s v="Brewer"/>
    <s v="Tuesday"/>
    <s v="16:09:00"/>
    <x v="6"/>
    <s v="None"/>
    <s v="Daylight"/>
    <s v="Rear End / Sideswipe"/>
    <s v="Four Leg Intersection"/>
    <s v="Dry"/>
    <s v="Clear"/>
    <s v="Yes"/>
    <s v="Swerved or Avoided Due to Wind, Slippery Surface, Motor Vehicle, Object, Non-Motorist in Roadway"/>
    <m/>
    <s v="No Contributing Action"/>
    <m/>
    <n v="39690"/>
    <s v="0009B"/>
    <s v="ST RTE 9B"/>
    <n v="10.28"/>
    <n v="1"/>
    <n v="22335.5"/>
    <m/>
    <s v="N"/>
    <s v="N"/>
    <s v="N"/>
    <s v="N"/>
    <s v="No"/>
    <s v="No"/>
    <n v="2"/>
    <n v="3"/>
    <n v="0"/>
    <n v="0"/>
    <n v="0"/>
    <n v="0"/>
    <n v="0"/>
    <n v="3"/>
    <s v="PD"/>
    <s v="BACTS"/>
    <n v="16"/>
    <s v="Traffic Signals (Stop &amp; Go)"/>
    <s v="Unknown"/>
    <n v="3"/>
    <s v="Penobscot"/>
    <s v="2019-50942"/>
    <s v="BREWER POLICE DEPARTMENT"/>
    <s v="19-032141"/>
    <n v="44.797049169999987"/>
    <n v="-68.761350610000008"/>
    <n v="4"/>
    <s v="April"/>
    <s v="19050"/>
    <n v="4041936"/>
    <n v="4"/>
    <s v="4 - Eastern Region"/>
    <s v="2"/>
    <s v="Urban"/>
    <s v="NODE"/>
    <n v="85119"/>
    <n v="0"/>
  </r>
  <r>
    <x v="0"/>
    <s v="2019-51191"/>
    <d v="2019-05-01T00:00:00"/>
    <s v="Brewer"/>
    <s v="Wednesday"/>
    <s v="09:45:00"/>
    <x v="6"/>
    <s v="None"/>
    <s v="Daylight"/>
    <s v="Rear End / Sideswipe"/>
    <s v="Straight Road"/>
    <s v="Dry"/>
    <s v="Clear"/>
    <m/>
    <s v="No Contributing Action"/>
    <m/>
    <s v="No Contributing Action"/>
    <m/>
    <m/>
    <s v="0009B"/>
    <s v="ST RTE 9B"/>
    <n v="10.34"/>
    <n v="2"/>
    <n v="12872"/>
    <n v="25"/>
    <s v="N"/>
    <s v="N"/>
    <s v="N"/>
    <s v="N"/>
    <s v="No"/>
    <s v="No"/>
    <n v="2"/>
    <n v="2"/>
    <n v="0"/>
    <n v="0"/>
    <n v="0"/>
    <n v="0"/>
    <n v="0"/>
    <n v="2"/>
    <s v="PD"/>
    <s v="BACTS"/>
    <n v="9"/>
    <s v="None"/>
    <s v="Posted"/>
    <n v="4"/>
    <s v="Penobscot"/>
    <s v="2019-51191"/>
    <s v="BREWER POLICE DEPARTMENT"/>
    <s v="19-032357"/>
    <n v="44.797630170000012"/>
    <n v="-68.760270890000001"/>
    <n v="5"/>
    <s v="May"/>
    <s v="19050"/>
    <n v="4041934"/>
    <n v="4"/>
    <s v="4 - Eastern Region"/>
    <s v="2"/>
    <s v="Urban"/>
    <s v="ELEMENT"/>
    <n v="85297"/>
    <n v="0.01"/>
  </r>
  <r>
    <x v="0"/>
    <s v="2023-9739"/>
    <d v="2023-03-23T00:00:00"/>
    <s v="Brewer"/>
    <s v="Thursday"/>
    <s v="23:30:00"/>
    <x v="0"/>
    <s v="None"/>
    <s v="Dark - Lighted"/>
    <s v="Rear End / Sideswipe"/>
    <s v="Four Leg Intersection"/>
    <s v="Wet"/>
    <s v="Clear"/>
    <s v="Yes"/>
    <s v="Other Contributing Action"/>
    <m/>
    <s v="No Contributing Action"/>
    <m/>
    <n v="39690"/>
    <s v="0009B"/>
    <s v="ST RTE 9B"/>
    <n v="10.28"/>
    <n v="1"/>
    <n v="22335.5"/>
    <m/>
    <s v="N"/>
    <s v="N"/>
    <m/>
    <s v="N"/>
    <s v="No"/>
    <s v="No"/>
    <n v="2"/>
    <n v="2"/>
    <n v="0"/>
    <n v="0"/>
    <n v="0"/>
    <n v="0"/>
    <n v="0"/>
    <n v="2"/>
    <s v="PD"/>
    <s v="BACTS"/>
    <n v="23"/>
    <s v="Traffic Signals (Stop &amp; Go)"/>
    <s v="Unknown"/>
    <n v="5"/>
    <s v="Penobscot"/>
    <s v="2023-09739"/>
    <s v="BREWER POLICE DEPARTMENT"/>
    <s v="23-020616"/>
    <n v="44.797049999999999"/>
    <n v="-68.761350000000007"/>
    <n v="3"/>
    <s v="March"/>
    <s v="19050"/>
    <n v="4041936"/>
    <n v="4"/>
    <s v="4 - Eastern Region"/>
    <s v="2"/>
    <s v="Urban"/>
    <s v="NODE"/>
    <n v="94120"/>
    <n v="0"/>
  </r>
  <r>
    <x v="0"/>
    <s v="2025-2722"/>
    <d v="2025-01-14T00:00:00"/>
    <s v="Brewer"/>
    <s v="Tuesday  "/>
    <s v="13:00:00"/>
    <x v="8"/>
    <s v="None"/>
    <s v="Daylight"/>
    <s v="Intersection Movement"/>
    <s v="Four Leg Intersection"/>
    <s v="Wet"/>
    <s v="Cloudy"/>
    <s v="Yes"/>
    <s v="Failed to Yield Right-of-Way"/>
    <m/>
    <s v="No Contributing Action"/>
    <m/>
    <n v="39690"/>
    <s v="0009B"/>
    <s v="ST RTE 9B"/>
    <n v="10.28"/>
    <n v="1"/>
    <n v="22335.5"/>
    <m/>
    <s v="N"/>
    <s v="N"/>
    <m/>
    <s v="N"/>
    <s v="No"/>
    <s v="No"/>
    <n v="2"/>
    <n v="2"/>
    <n v="0"/>
    <n v="0"/>
    <n v="0"/>
    <n v="0"/>
    <n v="0"/>
    <n v="2"/>
    <s v="PD"/>
    <s v="BACTS"/>
    <n v="13"/>
    <s v="Traffic Signals (Stop &amp; Go)"/>
    <s v="Unknown"/>
    <n v="3"/>
    <s v="Penobscot"/>
    <s v="2025-02722"/>
    <s v="BREWER POLICE DEPARTMENT"/>
    <s v="25-003147"/>
    <n v="44.797049169999987"/>
    <n v="-68.761350610000008"/>
    <n v="1"/>
    <s v="January"/>
    <s v="19050"/>
    <n v="4041936"/>
    <n v="4"/>
    <s v="4 - Eastern Region"/>
    <s v="2"/>
    <s v="Urban"/>
    <s v="NODE"/>
    <n v="94902"/>
    <n v="0"/>
  </r>
  <r>
    <x v="0"/>
    <s v="2022-19034"/>
    <d v="2022-07-05T00:00:00"/>
    <s v="Brewer"/>
    <s v="Tuesday"/>
    <s v="09:45:00"/>
    <x v="3"/>
    <s v="Shoulders (None, Low, Soft, High)"/>
    <s v="Daylight"/>
    <s v="Went Off Road"/>
    <s v="Four Leg Intersection"/>
    <s v="Dry"/>
    <s v="Clear"/>
    <s v="Yes"/>
    <s v="Improper Turn"/>
    <m/>
    <m/>
    <m/>
    <n v="39690"/>
    <s v="0009B"/>
    <s v="ST RTE 9B"/>
    <n v="10.28"/>
    <n v="1"/>
    <n v="22335.5"/>
    <m/>
    <s v="N"/>
    <s v="N"/>
    <s v="N"/>
    <s v="N"/>
    <s v="No"/>
    <s v="No"/>
    <n v="1"/>
    <n v="1"/>
    <n v="0"/>
    <n v="0"/>
    <n v="0"/>
    <n v="0"/>
    <n v="0"/>
    <n v="1"/>
    <s v="PD"/>
    <s v="BACTS"/>
    <n v="9"/>
    <s v="Traffic Signals (Stop &amp; Go)"/>
    <s v="Unknown"/>
    <n v="3"/>
    <s v="Penobscot"/>
    <s v="2022-19034"/>
    <s v="BREWER POLICE DEPARTMENT"/>
    <s v="22-049246"/>
    <n v="44.797049169999987"/>
    <n v="-68.761350610000008"/>
    <n v="7"/>
    <s v="July"/>
    <s v="19050"/>
    <n v="4041936"/>
    <n v="4"/>
    <s v="4 - Eastern Region"/>
    <s v="2"/>
    <s v="Urban"/>
    <s v="NODE"/>
    <n v="95753"/>
    <n v="0"/>
  </r>
  <r>
    <x v="0"/>
    <s v="2023-15384"/>
    <d v="2023-06-01T00:00:00"/>
    <s v="Brewer"/>
    <s v="Thursday"/>
    <s v="17:45:00"/>
    <x v="0"/>
    <s v="None"/>
    <s v="Daylight"/>
    <s v="Intersection Movement"/>
    <s v="Four Leg Intersection"/>
    <s v="Dry"/>
    <s v="Clear"/>
    <s v="Yes"/>
    <s v="Ran Red Light"/>
    <m/>
    <s v="No Contributing Action"/>
    <m/>
    <n v="39690"/>
    <s v="0009B"/>
    <s v="ST RTE 9B"/>
    <n v="10.28"/>
    <n v="1"/>
    <n v="22335.5"/>
    <m/>
    <s v="N"/>
    <s v="N"/>
    <m/>
    <s v="N"/>
    <s v="No"/>
    <s v="No"/>
    <n v="2"/>
    <n v="2"/>
    <n v="0"/>
    <n v="0"/>
    <n v="0"/>
    <n v="0"/>
    <n v="0"/>
    <n v="2"/>
    <s v="PD"/>
    <s v="BACTS"/>
    <n v="17"/>
    <s v="Traffic Signals (Stop &amp; Go)"/>
    <s v="Unknown"/>
    <n v="5"/>
    <s v="Penobscot"/>
    <s v="2023-15384"/>
    <s v="BREWER POLICE DEPARTMENT"/>
    <s v="23-041071"/>
    <n v="44.797049169999987"/>
    <n v="-68.761350610000008"/>
    <n v="6"/>
    <s v="June"/>
    <s v="19050"/>
    <n v="4041936"/>
    <n v="4"/>
    <s v="4 - Eastern Region"/>
    <s v="2"/>
    <s v="Urban"/>
    <s v="NODE"/>
    <n v="97506"/>
    <n v="0"/>
  </r>
  <r>
    <x v="0"/>
    <s v="2020-9309"/>
    <d v="2020-03-11T00:00:00"/>
    <s v="Brewer"/>
    <s v="Wednesday"/>
    <s v="10:20:00"/>
    <x v="5"/>
    <s v="None"/>
    <s v="Daylight"/>
    <s v="Rear End / Sideswipe"/>
    <s v="Three Leg Intersection"/>
    <s v="Dry"/>
    <s v="Clear"/>
    <s v="Yes"/>
    <s v="No Contributing Action"/>
    <m/>
    <s v="No Contributing Action"/>
    <m/>
    <n v="39690"/>
    <s v="0009B"/>
    <s v="ST RTE 9B"/>
    <n v="10.28"/>
    <n v="1"/>
    <n v="22335.5"/>
    <m/>
    <s v="N"/>
    <s v="N"/>
    <s v="N"/>
    <s v="N"/>
    <s v="No"/>
    <s v="No"/>
    <n v="2"/>
    <n v="2"/>
    <n v="0"/>
    <n v="0"/>
    <n v="0"/>
    <n v="0"/>
    <n v="0"/>
    <n v="2"/>
    <s v="PD"/>
    <s v="BACTS"/>
    <n v="10"/>
    <s v="Yield Sign"/>
    <s v="Unknown"/>
    <n v="4"/>
    <s v="Penobscot"/>
    <s v="2020-09309"/>
    <s v="BREWER POLICE DEPARTMENT"/>
    <s v="20-019457"/>
    <n v="44.797342489999998"/>
    <n v="-68.761545810000001"/>
    <n v="3"/>
    <s v="March"/>
    <s v="19050"/>
    <n v="4041936"/>
    <n v="4"/>
    <s v="4 - Eastern Region"/>
    <s v="2"/>
    <s v="Urban"/>
    <s v="NODE"/>
    <n v="101156"/>
    <n v="0"/>
  </r>
  <r>
    <x v="0"/>
    <s v="2020-8363"/>
    <d v="2020-03-11T00:00:00"/>
    <s v="Brewer"/>
    <s v="Wednesday"/>
    <s v="16:50:00"/>
    <x v="5"/>
    <s v="None"/>
    <s v="Daylight"/>
    <s v="Rear End / Sideswipe"/>
    <s v="Driveways"/>
    <s v="Dry"/>
    <s v="Clear"/>
    <m/>
    <s v="Followed Too Closely"/>
    <m/>
    <s v="No Contributing Action"/>
    <m/>
    <m/>
    <s v="0009B"/>
    <s v="ST RTE 9B"/>
    <n v="10.34"/>
    <n v="2"/>
    <n v="12872"/>
    <n v="25"/>
    <s v="N"/>
    <s v="N"/>
    <s v="N"/>
    <s v="N"/>
    <s v="No"/>
    <s v="No"/>
    <n v="2"/>
    <n v="2"/>
    <n v="0"/>
    <n v="0"/>
    <n v="0"/>
    <n v="0"/>
    <n v="0"/>
    <n v="2"/>
    <s v="PD"/>
    <s v="BACTS"/>
    <n v="16"/>
    <s v="None"/>
    <s v="Posted"/>
    <n v="4"/>
    <s v="Penobscot"/>
    <s v="2020-08363"/>
    <s v="BREWER POLICE DEPARTMENT"/>
    <s v="20-019577"/>
    <n v="44.79761087"/>
    <n v="-68.760307010000005"/>
    <n v="3"/>
    <s v="March"/>
    <s v="19050"/>
    <n v="4041934"/>
    <n v="4"/>
    <s v="4 - Eastern Region"/>
    <s v="2"/>
    <s v="Urban"/>
    <s v="ELEMENT"/>
    <n v="103904"/>
    <n v="0.01"/>
  </r>
  <r>
    <x v="0"/>
    <s v="2019-58546"/>
    <d v="2019-07-11T00:00:00"/>
    <s v="Brewer"/>
    <s v="Thursday"/>
    <s v="16:33:00"/>
    <x v="6"/>
    <s v="None"/>
    <s v="Daylight"/>
    <s v="Other"/>
    <s v="Driveways"/>
    <s v="Dry"/>
    <s v="Clear"/>
    <s v="Yes"/>
    <s v="No Contributing Action"/>
    <m/>
    <m/>
    <m/>
    <m/>
    <s v="0009B"/>
    <s v="ST RTE 9B"/>
    <n v="10.33"/>
    <n v="2"/>
    <n v="12872"/>
    <n v="25"/>
    <s v="N"/>
    <s v="N"/>
    <s v="N"/>
    <s v="Y"/>
    <s v="No"/>
    <s v="No"/>
    <n v="1"/>
    <n v="1"/>
    <n v="0"/>
    <n v="0"/>
    <n v="0"/>
    <n v="0"/>
    <n v="0"/>
    <n v="1"/>
    <s v="PD"/>
    <s v="BACTS"/>
    <n v="16"/>
    <s v="Traffic Signals (Stop &amp; Go)"/>
    <s v="Posted"/>
    <n v="5"/>
    <s v="Penobscot"/>
    <s v="2019-58546"/>
    <s v="BREWER POLICE DEPARTMENT"/>
    <s v="19-054511"/>
    <n v="44.797460000000001"/>
    <n v="-68.76057999999999"/>
    <n v="7"/>
    <s v="July"/>
    <s v="19050"/>
    <n v="4041934"/>
    <n v="4"/>
    <s v="4 - Eastern Region"/>
    <s v="2"/>
    <s v="Urban"/>
    <s v="ELEMENT"/>
    <n v="107137"/>
    <n v="0.02"/>
  </r>
  <r>
    <x v="0"/>
    <s v="2019-54896"/>
    <d v="2019-06-16T00:00:00"/>
    <s v="Brewer"/>
    <s v="Sunday"/>
    <s v="11:25:00"/>
    <x v="6"/>
    <s v="None"/>
    <s v="Daylight"/>
    <s v="Intersection Movement"/>
    <s v="Four Leg Intersection"/>
    <s v="Dry"/>
    <s v="Cloudy"/>
    <s v="Yes"/>
    <s v="Ran Red Light"/>
    <s v="No Contributing Action"/>
    <s v="No Contributing Action"/>
    <m/>
    <n v="39690"/>
    <s v="0009B"/>
    <s v="ST RTE 9B"/>
    <n v="10.28"/>
    <n v="1"/>
    <n v="22335.5"/>
    <m/>
    <s v="N"/>
    <s v="N"/>
    <s v="N"/>
    <s v="N"/>
    <s v="No"/>
    <s v="No"/>
    <n v="2"/>
    <n v="3"/>
    <n v="0"/>
    <n v="0"/>
    <n v="0"/>
    <n v="0"/>
    <n v="0"/>
    <n v="3"/>
    <s v="PD"/>
    <s v="BACTS"/>
    <n v="11"/>
    <s v="Traffic Signals (Stop &amp; Go)"/>
    <s v="Unknown"/>
    <n v="1"/>
    <s v="Penobscot"/>
    <s v="2019-54896"/>
    <s v="BREWER POLICE DEPARTMENT"/>
    <s v="19-046622"/>
    <n v="44.797049169999987"/>
    <n v="-68.761350610000008"/>
    <n v="6"/>
    <s v="June"/>
    <s v="19050"/>
    <n v="4041936"/>
    <n v="4"/>
    <s v="4 - Eastern Region"/>
    <s v="2"/>
    <s v="Urban"/>
    <s v="NODE"/>
    <n v="108168"/>
    <n v="0"/>
  </r>
  <r>
    <x v="0"/>
    <s v="2020-31012"/>
    <d v="2020-12-09T00:00:00"/>
    <s v="Brewer"/>
    <s v="Wednesday"/>
    <s v="17:30:00"/>
    <x v="5"/>
    <s v="None"/>
    <s v="Dark - Lighted"/>
    <s v="Intersection Movement"/>
    <s v="Four Leg Intersection"/>
    <s v="Dry"/>
    <s v="Cloudy"/>
    <s v="Yes"/>
    <s v="Ran Off Roadway"/>
    <s v="Improper Turn"/>
    <s v="No Contributing Action"/>
    <m/>
    <n v="39690"/>
    <s v="0009B"/>
    <s v="ST RTE 9B"/>
    <n v="10.28"/>
    <n v="1"/>
    <n v="22335.5"/>
    <m/>
    <s v="N"/>
    <s v="N"/>
    <s v="N"/>
    <s v="N"/>
    <s v="No"/>
    <s v="No"/>
    <n v="2"/>
    <n v="3"/>
    <n v="0"/>
    <n v="0"/>
    <n v="0"/>
    <n v="0"/>
    <n v="0"/>
    <n v="3"/>
    <s v="PD"/>
    <s v="BACTS"/>
    <n v="17"/>
    <s v="Traffic Signals (Stop &amp; Go)"/>
    <s v="Unknown"/>
    <n v="4"/>
    <s v="Penobscot"/>
    <s v="2020-31012"/>
    <s v="BREWER POLICE DEPARTMENT"/>
    <s v="20-094415"/>
    <n v="44.797049169999987"/>
    <n v="-68.761350610000008"/>
    <n v="12"/>
    <s v="December"/>
    <s v="19050"/>
    <n v="4041936"/>
    <n v="4"/>
    <s v="4 - Eastern Region"/>
    <s v="2"/>
    <s v="Urban"/>
    <s v="NODE"/>
    <n v="108707"/>
    <n v="0"/>
  </r>
  <r>
    <x v="0"/>
    <s v="2026-2710"/>
    <d v="2026-01-24T00:00:00"/>
    <s v="Brewer"/>
    <s v="Saturday "/>
    <s v="14:28:00"/>
    <x v="1"/>
    <s v="None"/>
    <s v="Daylight"/>
    <s v="Rear End / Sideswipe"/>
    <s v="Straight Road"/>
    <s v="Dry"/>
    <s v="Clear"/>
    <m/>
    <s v="Failed to Yield Right-of-Way"/>
    <m/>
    <s v="No Contributing Action"/>
    <m/>
    <m/>
    <s v="0009B"/>
    <s v="ST RTE 9B"/>
    <n v="10.33"/>
    <n v="2"/>
    <n v="12872"/>
    <n v="25"/>
    <s v="N"/>
    <s v="N"/>
    <m/>
    <s v="N"/>
    <s v="No"/>
    <s v="No"/>
    <n v="2"/>
    <n v="5"/>
    <n v="0"/>
    <n v="0"/>
    <n v="0"/>
    <n v="0"/>
    <n v="0"/>
    <n v="5"/>
    <s v="PD"/>
    <s v="BACTS"/>
    <n v="14"/>
    <s v="None"/>
    <s v="Posted"/>
    <n v="7"/>
    <s v="Penobscot"/>
    <s v="2026-02710"/>
    <s v="BREWER POLICE DEPARTMENT"/>
    <s v="26-005309"/>
    <n v="44.797504480000001"/>
    <n v="-68.760506079999999"/>
    <n v="1"/>
    <s v="January"/>
    <s v="19050"/>
    <n v="4041934"/>
    <n v="4"/>
    <s v="4 - Eastern Region"/>
    <s v="2"/>
    <s v="Urban"/>
    <s v="ELEMENT"/>
    <n v="110962"/>
    <n v="0.02"/>
  </r>
  <r>
    <x v="0"/>
    <s v="2025-39344"/>
    <d v="2025-12-12T00:00:00"/>
    <s v="Brewer"/>
    <s v="Friday   "/>
    <s v="19:39:00"/>
    <x v="8"/>
    <s v="None"/>
    <s v="Dark - Lighted"/>
    <s v="Intersection Movement"/>
    <s v="Four Leg Intersection"/>
    <s v="Ice/Frost"/>
    <s v="Clear"/>
    <s v="Yes"/>
    <s v="Improper Turn"/>
    <m/>
    <s v="No Contributing Action"/>
    <m/>
    <n v="39690"/>
    <s v="0009B"/>
    <s v="ST RTE 9B"/>
    <n v="10.28"/>
    <n v="1"/>
    <n v="22335.5"/>
    <m/>
    <s v="N"/>
    <s v="N"/>
    <m/>
    <s v="N"/>
    <s v="No"/>
    <s v="No"/>
    <n v="2"/>
    <n v="2"/>
    <n v="0"/>
    <n v="0"/>
    <n v="0"/>
    <n v="0"/>
    <n v="0"/>
    <n v="2"/>
    <s v="PD"/>
    <s v="BACTS"/>
    <n v="19"/>
    <s v="Traffic Signals (Stop &amp; Go)"/>
    <s v="Unknown"/>
    <n v="6"/>
    <s v="Penobscot"/>
    <s v="2025-39344"/>
    <s v="BREWER POLICE DEPARTMENT"/>
    <s v="25-089912"/>
    <n v="44.797049169999987"/>
    <n v="-68.761350610000008"/>
    <n v="12"/>
    <s v="December"/>
    <s v="19050"/>
    <n v="4041936"/>
    <n v="4"/>
    <s v="4 - Eastern Region"/>
    <s v="2"/>
    <s v="Urban"/>
    <s v="NODE"/>
    <n v="112905"/>
    <n v="0"/>
  </r>
  <r>
    <x v="0"/>
    <s v="2019-62880"/>
    <d v="2019-08-21T00:00:00"/>
    <s v="Brewer"/>
    <s v="Wednesday"/>
    <s v="17:53:00"/>
    <x v="6"/>
    <s v="None"/>
    <s v="Daylight"/>
    <s v="Rear End / Sideswipe"/>
    <s v="Four Leg Intersection"/>
    <s v="Wet"/>
    <s v="Rain"/>
    <s v="Yes"/>
    <s v="Followed Too Closely"/>
    <m/>
    <s v="No Contributing Action"/>
    <m/>
    <n v="39690"/>
    <s v="0009B"/>
    <s v="ST RTE 9B"/>
    <n v="10.28"/>
    <n v="1"/>
    <n v="22335.5"/>
    <m/>
    <s v="N"/>
    <s v="N"/>
    <s v="N"/>
    <s v="N"/>
    <s v="No"/>
    <s v="No"/>
    <n v="2"/>
    <n v="2"/>
    <n v="0"/>
    <n v="0"/>
    <n v="0"/>
    <n v="0"/>
    <n v="0"/>
    <n v="2"/>
    <s v="PD"/>
    <s v="BACTS"/>
    <n v="17"/>
    <s v="Traffic Signals (Stop &amp; Go)"/>
    <s v="Unknown"/>
    <n v="4"/>
    <s v="Penobscot"/>
    <s v="2019-62880"/>
    <s v="BREWER POLICE DEPARTMENT"/>
    <s v="19-067665"/>
    <n v="44.797049169999987"/>
    <n v="-68.761350610000008"/>
    <n v="8"/>
    <s v="August"/>
    <s v="19050"/>
    <n v="4041936"/>
    <n v="4"/>
    <s v="4 - Eastern Region"/>
    <s v="2"/>
    <s v="Urban"/>
    <s v="NODE"/>
    <n v="113465"/>
    <n v="0"/>
  </r>
  <r>
    <x v="0"/>
    <s v="2018-6382"/>
    <d v="2018-02-14T00:00:00"/>
    <s v="Brewer"/>
    <s v="Wednesday"/>
    <s v="14:33:00"/>
    <x v="2"/>
    <s v="None"/>
    <s v="Daylight"/>
    <s v="Rear End / Sideswipe"/>
    <s v="Straight Road"/>
    <s v="Wet"/>
    <s v="Clear"/>
    <m/>
    <s v="Followed Too Closely"/>
    <m/>
    <s v="No Contributing Action"/>
    <m/>
    <m/>
    <s v="3201602"/>
    <s v="RD INV 3201602"/>
    <n v="0.02"/>
    <n v="1"/>
    <n v="5125"/>
    <n v="30"/>
    <s v="N"/>
    <s v="N"/>
    <s v="N"/>
    <s v="N"/>
    <s v="No"/>
    <s v="No"/>
    <n v="2"/>
    <n v="2"/>
    <n v="0"/>
    <n v="0"/>
    <n v="0"/>
    <n v="0"/>
    <n v="0"/>
    <n v="2"/>
    <s v="PD"/>
    <s v="BACTS"/>
    <n v="14"/>
    <s v="None"/>
    <s v="Unposted"/>
    <n v="4"/>
    <s v="Penobscot"/>
    <s v="2018-06382"/>
    <s v="BREWER POLICE DEPARTMENT"/>
    <s v="18-011431"/>
    <n v="44.796898259999999"/>
    <n v="-68.761310420000001"/>
    <n v="2"/>
    <s v="February"/>
    <s v="19050"/>
    <n v="4042173"/>
    <n v="4"/>
    <s v="4 - Eastern Region"/>
    <s v="2"/>
    <s v="Urban"/>
    <s v="ELEMENT"/>
    <n v="114133"/>
    <n v="0.02"/>
  </r>
  <r>
    <x v="0"/>
    <s v="2022-36295"/>
    <d v="2022-12-01T00:00:00"/>
    <s v="Brewer"/>
    <s v="Thursday"/>
    <s v="14:11:00"/>
    <x v="3"/>
    <s v="None"/>
    <s v="Daylight"/>
    <s v="Rear End / Sideswipe"/>
    <s v="Driveways"/>
    <s v="Dry"/>
    <s v="Clear"/>
    <m/>
    <s v="Failed to Yield Right-of-Way"/>
    <m/>
    <s v="No Contributing Action"/>
    <m/>
    <m/>
    <s v="0009B"/>
    <s v="ST RTE 9B"/>
    <n v="10.34"/>
    <n v="2"/>
    <n v="12872"/>
    <n v="25"/>
    <s v="N"/>
    <s v="N"/>
    <m/>
    <s v="N"/>
    <s v="No"/>
    <s v="No"/>
    <n v="2"/>
    <n v="2"/>
    <n v="0"/>
    <n v="0"/>
    <n v="0"/>
    <n v="0"/>
    <n v="0"/>
    <n v="2"/>
    <s v="PD"/>
    <s v="BACTS"/>
    <n v="14"/>
    <s v="None"/>
    <s v="Posted"/>
    <n v="5"/>
    <s v="Penobscot"/>
    <s v="2022-36295"/>
    <s v="BREWER POLICE DEPARTMENT"/>
    <s v="22-090555"/>
    <n v="44.797610239999997"/>
    <n v="-68.760308190000003"/>
    <n v="12"/>
    <s v="December"/>
    <s v="19050"/>
    <n v="4041934"/>
    <n v="4"/>
    <s v="4 - Eastern Region"/>
    <s v="2"/>
    <s v="Urban"/>
    <s v="ELEMENT"/>
    <n v="117703"/>
    <n v="0.01"/>
  </r>
  <r>
    <x v="0"/>
    <s v="2023-3655"/>
    <d v="2023-01-13T00:00:00"/>
    <s v="Brewer"/>
    <s v="Friday"/>
    <s v="11:10:00"/>
    <x v="0"/>
    <s v="None"/>
    <s v="Daylight"/>
    <s v="Rear End / Sideswipe"/>
    <s v="Four Leg Intersection"/>
    <s v="Wet"/>
    <s v="Rain"/>
    <s v="Yes"/>
    <s v="Failed to Yield Right-of-Way"/>
    <s v="Disregarded Other Road Markings"/>
    <s v="No Contributing Action"/>
    <m/>
    <n v="39690"/>
    <s v="0009B"/>
    <s v="ST RTE 9B"/>
    <n v="10.28"/>
    <n v="1"/>
    <n v="22335.5"/>
    <m/>
    <s v="N"/>
    <s v="N"/>
    <m/>
    <s v="N"/>
    <s v="No"/>
    <s v="No"/>
    <n v="2"/>
    <n v="2"/>
    <n v="0"/>
    <n v="0"/>
    <n v="0"/>
    <n v="0"/>
    <n v="0"/>
    <n v="2"/>
    <s v="PD"/>
    <s v="BACTS"/>
    <n v="11"/>
    <s v="Traffic Signals (Stop &amp; Go)"/>
    <s v="Unknown"/>
    <n v="6"/>
    <s v="Penobscot"/>
    <s v="2023-03655"/>
    <s v="BREWER POLICE DEPARTMENT"/>
    <s v="23-002983"/>
    <n v="44.797049169999987"/>
    <n v="-68.761350610000008"/>
    <n v="1"/>
    <s v="January"/>
    <s v="19050"/>
    <n v="4041936"/>
    <n v="4"/>
    <s v="4 - Eastern Region"/>
    <s v="2"/>
    <s v="Urban"/>
    <s v="NODE"/>
    <n v="121474"/>
    <n v="0"/>
  </r>
  <r>
    <x v="0"/>
    <s v="2023-12696"/>
    <d v="2023-05-02T00:00:00"/>
    <s v="Brewer"/>
    <s v="Tuesday"/>
    <s v="18:36:00"/>
    <x v="0"/>
    <s v="None"/>
    <s v="Daylight"/>
    <s v="Bicycle"/>
    <s v="Four Leg Intersection"/>
    <s v="Dry"/>
    <s v="Cloudy"/>
    <s v="Yes"/>
    <m/>
    <m/>
    <m/>
    <m/>
    <n v="39690"/>
    <s v="0009B"/>
    <s v="ST RTE 9B"/>
    <n v="10.28"/>
    <n v="1"/>
    <n v="22335.5"/>
    <m/>
    <s v="Y"/>
    <s v="N"/>
    <m/>
    <s v="N"/>
    <s v="No"/>
    <s v="No"/>
    <n v="2"/>
    <n v="1"/>
    <n v="1"/>
    <n v="0"/>
    <n v="0"/>
    <n v="1"/>
    <n v="0"/>
    <n v="0"/>
    <s v="B"/>
    <s v="BACTS"/>
    <n v="18"/>
    <s v="Traffic Signals (Stop &amp; Go)"/>
    <s v="Unknown"/>
    <n v="3"/>
    <s v="Penobscot"/>
    <s v="2023-12696"/>
    <s v="BREWER POLICE DEPARTMENT"/>
    <s v="23-031922"/>
    <n v="44.797049169999987"/>
    <n v="-68.761350610000008"/>
    <n v="5"/>
    <s v="May"/>
    <s v="19050"/>
    <n v="4041936"/>
    <n v="4"/>
    <s v="4 - Eastern Region"/>
    <s v="2"/>
    <s v="Urban"/>
    <s v="NODE"/>
    <n v="126489"/>
    <n v="0"/>
  </r>
  <r>
    <x v="0"/>
    <s v="2019-68535"/>
    <d v="2019-10-19T00:00:00"/>
    <s v="Brewer"/>
    <s v="Saturday"/>
    <s v="13:41:00"/>
    <x v="6"/>
    <s v="None"/>
    <s v="Daylight"/>
    <s v="Intersection Movement"/>
    <s v="Four Leg Intersection"/>
    <s v="Dry"/>
    <s v="Clear"/>
    <s v="Yes"/>
    <s v="Ran Red Light"/>
    <m/>
    <s v="No Contributing Action"/>
    <m/>
    <n v="39690"/>
    <s v="0009B"/>
    <s v="ST RTE 9B"/>
    <n v="10.28"/>
    <n v="1"/>
    <n v="22335.5"/>
    <m/>
    <s v="N"/>
    <s v="N"/>
    <s v="N"/>
    <s v="N"/>
    <s v="No"/>
    <s v="No"/>
    <n v="2"/>
    <n v="3"/>
    <n v="2"/>
    <n v="0"/>
    <n v="0"/>
    <n v="0"/>
    <n v="2"/>
    <n v="1"/>
    <s v="C"/>
    <s v="BACTS"/>
    <n v="13"/>
    <s v="Traffic Signals (Stop &amp; Go)"/>
    <s v="Unknown"/>
    <n v="7"/>
    <s v="Penobscot"/>
    <s v="2019-68535"/>
    <s v="BREWER POLICE DEPARTMENT"/>
    <s v="19-086044"/>
    <n v="44.797049169999987"/>
    <n v="-68.761350610000008"/>
    <n v="10"/>
    <s v="October"/>
    <s v="19050"/>
    <n v="4041936"/>
    <n v="4"/>
    <s v="4 - Eastern Region"/>
    <s v="2"/>
    <s v="Urban"/>
    <s v="NODE"/>
    <n v="129038"/>
    <n v="0"/>
  </r>
  <r>
    <x v="0"/>
    <s v="2020-22415"/>
    <d v="2020-09-16T00:00:00"/>
    <s v="Brewer"/>
    <s v="Wednesday"/>
    <s v="10:25:00"/>
    <x v="5"/>
    <s v="None"/>
    <s v="Daylight"/>
    <s v="Intersection Movement"/>
    <s v="Four Leg Intersection"/>
    <s v="Dry"/>
    <s v="Clear"/>
    <s v="Yes"/>
    <s v="Unknown"/>
    <m/>
    <s v="No Contributing Action"/>
    <m/>
    <n v="39690"/>
    <s v="0009B"/>
    <s v="ST RTE 9B"/>
    <n v="10.28"/>
    <n v="1"/>
    <n v="22335.5"/>
    <m/>
    <s v="N"/>
    <s v="N"/>
    <s v="N"/>
    <s v="N"/>
    <s v="No"/>
    <s v="No"/>
    <n v="2"/>
    <n v="3"/>
    <n v="1"/>
    <n v="0"/>
    <n v="0"/>
    <n v="0"/>
    <n v="1"/>
    <n v="2"/>
    <s v="C"/>
    <s v="BACTS"/>
    <n v="10"/>
    <s v="Traffic Signals (Stop &amp; Go)"/>
    <s v="Unknown"/>
    <n v="4"/>
    <s v="Penobscot"/>
    <s v="2020-22415"/>
    <s v="BREWER POLICE DEPARTMENT"/>
    <s v="20-071594"/>
    <n v="44.797049169999987"/>
    <n v="-68.761350610000008"/>
    <n v="9"/>
    <s v="September"/>
    <s v="19050"/>
    <n v="4041936"/>
    <n v="4"/>
    <s v="4 - Eastern Region"/>
    <s v="2"/>
    <s v="Urban"/>
    <s v="NODE"/>
    <n v="130560"/>
    <n v="0"/>
  </r>
  <r>
    <x v="0"/>
    <s v="2020-24575"/>
    <d v="2020-10-08T00:00:00"/>
    <s v="Brewer"/>
    <s v="Thursday"/>
    <s v="10:40:00"/>
    <x v="5"/>
    <s v="None"/>
    <s v="Daylight"/>
    <s v="Rear End / Sideswipe"/>
    <s v="Four Leg Intersection"/>
    <s v="Dry"/>
    <s v="Clear"/>
    <s v="Yes"/>
    <s v="Other Contributing Action"/>
    <m/>
    <s v="No Contributing Action"/>
    <m/>
    <n v="39690"/>
    <s v="0009B"/>
    <s v="ST RTE 9B"/>
    <n v="10.28"/>
    <n v="1"/>
    <n v="22335.5"/>
    <m/>
    <s v="N"/>
    <s v="N"/>
    <s v="N"/>
    <s v="N"/>
    <s v="No"/>
    <s v="No"/>
    <n v="2"/>
    <n v="2"/>
    <n v="0"/>
    <n v="0"/>
    <n v="0"/>
    <n v="0"/>
    <n v="0"/>
    <n v="2"/>
    <s v="PD"/>
    <s v="BACTS"/>
    <n v="10"/>
    <s v="Traffic Signals (Stop &amp; Go)"/>
    <s v="Unknown"/>
    <n v="5"/>
    <s v="Penobscot"/>
    <s v="2020-24575"/>
    <s v="BREWER POLICE DEPARTMENT"/>
    <s v="20-078118"/>
    <n v="44.797049169999987"/>
    <n v="-68.761350610000008"/>
    <n v="10"/>
    <s v="October"/>
    <s v="19050"/>
    <n v="4041936"/>
    <n v="4"/>
    <s v="4 - Eastern Region"/>
    <s v="2"/>
    <s v="Urban"/>
    <s v="NODE"/>
    <n v="135175"/>
    <n v="0"/>
  </r>
  <r>
    <x v="0"/>
    <s v="2019-1772"/>
    <d v="2019-01-13T00:00:00"/>
    <s v="Brewer"/>
    <s v="Sunday"/>
    <s v="11:55:00"/>
    <x v="6"/>
    <s v="None"/>
    <s v="Daylight"/>
    <s v="Rear End / Sideswipe"/>
    <s v="Four Leg Intersection"/>
    <s v="Dry"/>
    <s v="Clear"/>
    <s v="Yes"/>
    <s v="No Contributing Action"/>
    <m/>
    <s v="Failed to Keep in Proper Lane"/>
    <m/>
    <n v="39690"/>
    <s v="0009B"/>
    <s v="ST RTE 9B"/>
    <n v="10.28"/>
    <n v="1"/>
    <n v="22335.5"/>
    <m/>
    <s v="N"/>
    <s v="N"/>
    <s v="N"/>
    <s v="N"/>
    <s v="No"/>
    <s v="No"/>
    <n v="2"/>
    <n v="3"/>
    <n v="0"/>
    <n v="0"/>
    <n v="0"/>
    <n v="0"/>
    <n v="0"/>
    <n v="3"/>
    <s v="PD"/>
    <s v="BACTS"/>
    <n v="11"/>
    <s v="Traffic Signals (Stop &amp; Go)"/>
    <s v="Unknown"/>
    <n v="1"/>
    <s v="Penobscot"/>
    <s v="2019-01772"/>
    <s v="BREWER POLICE DEPARTMENT"/>
    <s v="19-003214"/>
    <n v="44.797049169999987"/>
    <n v="-68.761350610000008"/>
    <n v="1"/>
    <s v="January"/>
    <s v="19050"/>
    <n v="4041936"/>
    <n v="4"/>
    <s v="4 - Eastern Region"/>
    <s v="2"/>
    <s v="Urban"/>
    <s v="NODE"/>
    <n v="138295"/>
    <n v="0"/>
  </r>
  <r>
    <x v="0"/>
    <s v="2022-20764"/>
    <d v="2022-07-22T00:00:00"/>
    <s v="Brewer"/>
    <s v="Friday"/>
    <s v="17:48:00"/>
    <x v="3"/>
    <s v="None"/>
    <s v="Daylight"/>
    <s v="Rear End / Sideswipe"/>
    <s v="Four Leg Intersection"/>
    <s v="Dry"/>
    <s v="Clear"/>
    <s v="Yes"/>
    <s v="Followed Too Closely"/>
    <m/>
    <s v="No Contributing Action"/>
    <m/>
    <n v="39690"/>
    <s v="0009B"/>
    <s v="ST RTE 9B"/>
    <n v="10.28"/>
    <n v="1"/>
    <n v="22335.5"/>
    <m/>
    <s v="N"/>
    <s v="N"/>
    <s v="N"/>
    <s v="N"/>
    <s v="No"/>
    <s v="No"/>
    <n v="2"/>
    <n v="2"/>
    <n v="0"/>
    <n v="0"/>
    <n v="0"/>
    <n v="0"/>
    <n v="0"/>
    <n v="2"/>
    <s v="PD"/>
    <s v="BACTS"/>
    <n v="17"/>
    <s v="Traffic Signals (Stop &amp; Go)"/>
    <s v="Unknown"/>
    <n v="6"/>
    <s v="Penobscot"/>
    <s v="2022-20764"/>
    <s v="BREWER POLICE DEPARTMENT"/>
    <s v="22-054243"/>
    <n v="44.797049169999987"/>
    <n v="-68.761350610000008"/>
    <n v="7"/>
    <s v="July"/>
    <s v="19050"/>
    <n v="4041936"/>
    <n v="4"/>
    <s v="4 - Eastern Region"/>
    <s v="2"/>
    <s v="Urban"/>
    <s v="NODE"/>
    <n v="139795"/>
    <n v="0"/>
  </r>
  <r>
    <x v="0"/>
    <s v="2024-22883"/>
    <d v="2024-08-14T00:00:00"/>
    <s v="Brewer"/>
    <s v="Wednesday"/>
    <s v="09:30:00"/>
    <x v="4"/>
    <s v="None"/>
    <s v="Daylight"/>
    <s v="Rear End / Sideswipe"/>
    <s v="Four Leg Intersection"/>
    <s v="Dry"/>
    <s v="Clear"/>
    <s v="Yes"/>
    <s v="Followed Too Closely"/>
    <m/>
    <s v="No Contributing Action"/>
    <m/>
    <n v="39690"/>
    <s v="0009B"/>
    <s v="ST RTE 9B"/>
    <n v="10.28"/>
    <n v="1"/>
    <n v="22335.5"/>
    <m/>
    <s v="N"/>
    <s v="N"/>
    <m/>
    <s v="N"/>
    <s v="No"/>
    <s v="No"/>
    <n v="2"/>
    <n v="3"/>
    <n v="1"/>
    <n v="0"/>
    <n v="0"/>
    <n v="0"/>
    <n v="1"/>
    <n v="2"/>
    <s v="C"/>
    <s v="BACTS"/>
    <n v="9"/>
    <s v="Traffic Signals (Stop &amp; Go)"/>
    <s v="Unknown"/>
    <n v="4"/>
    <s v="Penobscot"/>
    <s v="2024-22883"/>
    <s v="BREWER POLICE DEPARTMENT"/>
    <s v="24-060522"/>
    <n v="44.797049169999987"/>
    <n v="-68.761350610000008"/>
    <n v="8"/>
    <s v="August"/>
    <s v="19050"/>
    <n v="4041936"/>
    <n v="4"/>
    <s v="4 - Eastern Region"/>
    <s v="2"/>
    <s v="Urban"/>
    <s v="NODE"/>
    <n v="140330"/>
    <n v="0"/>
  </r>
  <r>
    <x v="0"/>
    <s v="2020-6972"/>
    <d v="2020-02-22T00:00:00"/>
    <s v="Brewer"/>
    <s v="Saturday"/>
    <s v="10:55:00"/>
    <x v="5"/>
    <s v="None"/>
    <s v="Daylight"/>
    <s v="Rear End / Sideswipe"/>
    <s v="Four Leg Intersection"/>
    <s v="Dry"/>
    <s v="Clear"/>
    <m/>
    <s v="Improper Turn"/>
    <s v="Failed to Yield Right-of-Way"/>
    <s v="No Contributing Action"/>
    <m/>
    <n v="39112"/>
    <s v="0009B"/>
    <s v="ST RTE 9B"/>
    <n v="10.35"/>
    <n v="2"/>
    <n v="12554"/>
    <m/>
    <s v="N"/>
    <s v="N"/>
    <s v="N"/>
    <s v="N"/>
    <s v="No"/>
    <s v="No"/>
    <n v="2"/>
    <n v="2"/>
    <n v="0"/>
    <n v="0"/>
    <n v="0"/>
    <n v="0"/>
    <n v="0"/>
    <n v="2"/>
    <s v="PD"/>
    <s v="BACTS"/>
    <n v="10"/>
    <s v="None"/>
    <s v="Unknown"/>
    <n v="7"/>
    <s v="Penobscot"/>
    <s v="2020-06972"/>
    <s v="BREWER POLICE DEPARTMENT"/>
    <s v="20-014596"/>
    <n v="44.797687420000003"/>
    <n v="-68.760163789999993"/>
    <n v="2"/>
    <s v="February"/>
    <s v="19050"/>
    <n v="3132103"/>
    <n v="4"/>
    <s v="4 - Eastern Region"/>
    <s v="2"/>
    <s v="Urban"/>
    <s v="NODE"/>
    <n v="145308"/>
    <n v="0"/>
  </r>
  <r>
    <x v="0"/>
    <s v="2023-12490"/>
    <d v="2023-04-27T00:00:00"/>
    <s v="Brewer"/>
    <s v="Thursday"/>
    <s v="14:40:00"/>
    <x v="0"/>
    <s v="None"/>
    <s v="Daylight"/>
    <s v="Intersection Movement"/>
    <s v="Four Leg Intersection"/>
    <s v="Dry"/>
    <s v="Cloudy"/>
    <s v="Yes"/>
    <s v="Ran Red Light"/>
    <m/>
    <s v="No Contributing Action"/>
    <m/>
    <n v="39690"/>
    <s v="0009B"/>
    <s v="ST RTE 9B"/>
    <n v="10.28"/>
    <n v="1"/>
    <n v="22335.5"/>
    <m/>
    <s v="N"/>
    <s v="N"/>
    <m/>
    <s v="N"/>
    <s v="No"/>
    <s v="No"/>
    <n v="2"/>
    <n v="2"/>
    <n v="0"/>
    <n v="0"/>
    <n v="0"/>
    <n v="0"/>
    <n v="0"/>
    <n v="2"/>
    <s v="PD"/>
    <s v="BACTS"/>
    <n v="14"/>
    <s v="Traffic Signals (Stop &amp; Go)"/>
    <s v="Unknown"/>
    <n v="5"/>
    <s v="Penobscot"/>
    <s v="2023-12490"/>
    <s v="BREWER POLICE DEPARTMENT"/>
    <s v="23-030224"/>
    <n v="44.797049169999987"/>
    <n v="-68.761350610000008"/>
    <n v="4"/>
    <s v="April"/>
    <s v="19050"/>
    <n v="4041936"/>
    <n v="4"/>
    <s v="4 - Eastern Region"/>
    <s v="2"/>
    <s v="Urban"/>
    <s v="NODE"/>
    <n v="145980"/>
    <n v="0"/>
  </r>
  <r>
    <x v="0"/>
    <s v="2025-25624"/>
    <d v="2025-09-07T00:00:00"/>
    <s v="Brewer"/>
    <s v="Sunday   "/>
    <s v="17:51:00"/>
    <x v="8"/>
    <s v="None"/>
    <s v="Daylight"/>
    <s v="Rear End / Sideswipe"/>
    <s v="Four Leg Intersection"/>
    <s v="Dry"/>
    <s v="Clear"/>
    <s v="Yes"/>
    <s v="Followed Too Closely"/>
    <m/>
    <s v="No Contributing Action"/>
    <m/>
    <n v="39690"/>
    <s v="0009B"/>
    <s v="ST RTE 9B"/>
    <n v="10.28"/>
    <n v="1"/>
    <n v="22335.5"/>
    <m/>
    <s v="N"/>
    <s v="N"/>
    <m/>
    <s v="N"/>
    <s v="No"/>
    <s v="No"/>
    <n v="2"/>
    <n v="3"/>
    <n v="0"/>
    <n v="0"/>
    <n v="0"/>
    <n v="0"/>
    <n v="0"/>
    <n v="3"/>
    <s v="PD"/>
    <s v="BACTS"/>
    <n v="17"/>
    <s v="Traffic Signals (Stop &amp; Go)"/>
    <s v="Unknown"/>
    <n v="1"/>
    <s v="Penobscot"/>
    <s v="2025-25624"/>
    <s v="BREWER POLICE DEPARTMENT"/>
    <s v="25-065447"/>
    <n v="44.797049169999987"/>
    <n v="-68.761350610000008"/>
    <n v="9"/>
    <s v="September"/>
    <s v="19050"/>
    <n v="4041936"/>
    <n v="4"/>
    <s v="4 - Eastern Region"/>
    <s v="2"/>
    <s v="Urban"/>
    <s v="NODE"/>
    <n v="153926"/>
    <n v="0"/>
  </r>
  <r>
    <x v="0"/>
    <s v="2025-532"/>
    <d v="2025-01-01T00:00:00"/>
    <s v="Brewer"/>
    <s v="Wednesday"/>
    <s v="17:29:00"/>
    <x v="8"/>
    <s v="None"/>
    <s v="Dark - Not Lighted"/>
    <s v="Rear End / Sideswipe"/>
    <s v="Straight Road"/>
    <s v="Dry"/>
    <s v="Clear"/>
    <s v="Yes"/>
    <s v="Followed Too Closely"/>
    <m/>
    <s v="No Contributing Action"/>
    <m/>
    <m/>
    <s v="0009B"/>
    <s v="ST RTE 9B"/>
    <n v="10.3"/>
    <n v="2"/>
    <n v="4201"/>
    <n v="25"/>
    <s v="N"/>
    <s v="N"/>
    <m/>
    <s v="N"/>
    <s v="No"/>
    <s v="No"/>
    <n v="2"/>
    <n v="4"/>
    <n v="1"/>
    <n v="0"/>
    <n v="0"/>
    <n v="1"/>
    <n v="0"/>
    <n v="3"/>
    <s v="B"/>
    <s v="BACTS"/>
    <n v="17"/>
    <s v="Traffic Signals (Stop &amp; Go)"/>
    <s v="Posted"/>
    <n v="4"/>
    <s v="Penobscot"/>
    <s v="2025-00532"/>
    <s v="BREWER POLICE DEPARTMENT"/>
    <s v="24-097225"/>
    <n v="44.797166259999997"/>
    <n v="-68.761042559999993"/>
    <n v="1"/>
    <s v="January"/>
    <s v="19050"/>
    <n v="4041942"/>
    <n v="4"/>
    <s v="4 - Eastern Region"/>
    <s v="2"/>
    <s v="Urban"/>
    <s v="ELEMENT"/>
    <n v="161361"/>
    <n v="0.01"/>
  </r>
  <r>
    <x v="0"/>
    <s v="2018-840"/>
    <d v="2018-01-08T00:00:00"/>
    <s v="Brewer"/>
    <s v="Monday"/>
    <s v="10:05:00"/>
    <x v="2"/>
    <s v="Road Surface Condition (Wet, Icy, Snow, Slush, etc.)"/>
    <s v="Daylight"/>
    <s v="Intersection Movement"/>
    <s v="Three Leg Intersection"/>
    <s v="Snow"/>
    <s v="Snow"/>
    <s v="Yes"/>
    <s v="Failed to Yield Right-of-Way"/>
    <m/>
    <s v="No Contributing Action"/>
    <m/>
    <n v="39690"/>
    <s v="0009B"/>
    <s v="ST RTE 9B"/>
    <n v="10.28"/>
    <n v="1"/>
    <n v="22335.5"/>
    <m/>
    <s v="N"/>
    <s v="N"/>
    <s v="N"/>
    <s v="N"/>
    <s v="No"/>
    <s v="No"/>
    <n v="2"/>
    <n v="2"/>
    <n v="0"/>
    <n v="0"/>
    <n v="0"/>
    <n v="0"/>
    <n v="0"/>
    <n v="2"/>
    <s v="PD"/>
    <s v="BACTS"/>
    <n v="10"/>
    <s v="Yield Sign"/>
    <s v="Unknown"/>
    <n v="2"/>
    <s v="Penobscot"/>
    <s v="2018-00840"/>
    <s v="BREWER POLICE DEPARTMENT"/>
    <s v="18-001817"/>
    <n v="44.797342489999998"/>
    <n v="-68.761545810000001"/>
    <n v="1"/>
    <s v="January"/>
    <s v="19050"/>
    <n v="4041936"/>
    <n v="4"/>
    <s v="4 - Eastern Region"/>
    <s v="2"/>
    <s v="Urban"/>
    <s v="NODE"/>
    <n v="166045"/>
    <n v="0"/>
  </r>
  <r>
    <x v="0"/>
    <s v="2020-9311"/>
    <d v="2020-03-24T00:00:00"/>
    <s v="Brewer"/>
    <s v="Tuesday"/>
    <s v="03:30:00"/>
    <x v="5"/>
    <s v="Road Surface Condition (Wet, Icy, Snow, Slush, etc.)"/>
    <s v="Dark - Lighted"/>
    <s v="Intersection Movement"/>
    <s v="Four Leg Intersection"/>
    <s v="Snow"/>
    <s v="Snow"/>
    <s v="Yes"/>
    <s v="Drove Too Fast For Conditions"/>
    <m/>
    <s v="No Contributing Action"/>
    <m/>
    <n v="39690"/>
    <s v="0009B"/>
    <s v="ST RTE 9B"/>
    <n v="10.28"/>
    <n v="1"/>
    <n v="22335.5"/>
    <m/>
    <s v="N"/>
    <s v="N"/>
    <s v="N"/>
    <s v="N"/>
    <s v="No"/>
    <s v="No"/>
    <n v="2"/>
    <n v="3"/>
    <n v="0"/>
    <n v="0"/>
    <n v="0"/>
    <n v="0"/>
    <n v="0"/>
    <n v="3"/>
    <s v="PD"/>
    <s v="BACTS"/>
    <n v="3"/>
    <s v="Traffic Signals (Stop &amp; Go)"/>
    <s v="Unknown"/>
    <n v="3"/>
    <s v="Penobscot"/>
    <s v="2020-09311"/>
    <s v="BREWER POLICE DEPARTMENT"/>
    <s v="20-022573"/>
    <n v="44.797049169999987"/>
    <n v="-68.761350610000008"/>
    <n v="3"/>
    <s v="March"/>
    <s v="19050"/>
    <n v="4041936"/>
    <n v="4"/>
    <s v="4 - Eastern Region"/>
    <s v="2"/>
    <s v="Urban"/>
    <s v="NODE"/>
    <n v="171431"/>
    <n v="0"/>
  </r>
  <r>
    <x v="0"/>
    <s v="2023-7267"/>
    <d v="2023-03-05T00:00:00"/>
    <s v="Brewer"/>
    <s v="Sunday"/>
    <s v="06:55:00"/>
    <x v="0"/>
    <s v="None"/>
    <s v="Daylight"/>
    <s v="Intersection Movement"/>
    <s v="Four Leg Intersection"/>
    <s v="Wet"/>
    <s v="Clear"/>
    <s v="Yes"/>
    <s v="Ran Red Light"/>
    <s v="Failed to Yield Right-of-Way"/>
    <s v="No Contributing Action"/>
    <m/>
    <n v="39690"/>
    <s v="0009B"/>
    <s v="ST RTE 9B"/>
    <n v="10.28"/>
    <n v="1"/>
    <n v="22335.5"/>
    <m/>
    <s v="N"/>
    <s v="N"/>
    <m/>
    <s v="N"/>
    <s v="No"/>
    <s v="No"/>
    <n v="2"/>
    <n v="2"/>
    <n v="2"/>
    <n v="0"/>
    <n v="0"/>
    <n v="2"/>
    <n v="0"/>
    <n v="0"/>
    <s v="B"/>
    <s v="BACTS"/>
    <n v="6"/>
    <s v="Traffic Signals (Stop &amp; Go)"/>
    <s v="Unknown"/>
    <n v="1"/>
    <s v="Penobscot"/>
    <s v="2023-07267"/>
    <s v="BREWER POLICE DEPARTMENT"/>
    <s v="23-015832"/>
    <n v="44.797049169999987"/>
    <n v="-68.761350610000008"/>
    <n v="3"/>
    <s v="March"/>
    <s v="19050"/>
    <n v="4041936"/>
    <n v="4"/>
    <s v="4 - Eastern Region"/>
    <s v="2"/>
    <s v="Urban"/>
    <s v="NODE"/>
    <n v="171660"/>
    <n v="0"/>
  </r>
  <r>
    <x v="0"/>
    <s v="2018-27244"/>
    <d v="2018-09-25T00:00:00"/>
    <s v="Brewer"/>
    <s v="Tuesday"/>
    <s v="18:00:00"/>
    <x v="2"/>
    <s v="None"/>
    <s v="Daylight"/>
    <s v="Rear End / Sideswipe"/>
    <s v="Straight Road"/>
    <s v="Wet"/>
    <s v="Cloudy"/>
    <s v="Yes"/>
    <s v="Failed to Yield Right-of-Way"/>
    <m/>
    <s v="No Contributing Action"/>
    <m/>
    <m/>
    <s v="3201374"/>
    <s v="RD INV 3201374"/>
    <n v="0.98000000000000009"/>
    <n v="1"/>
    <n v="7661"/>
    <n v="30"/>
    <s v="N"/>
    <s v="N"/>
    <s v="N"/>
    <s v="N"/>
    <s v="No"/>
    <s v="No"/>
    <n v="2"/>
    <n v="2"/>
    <n v="0"/>
    <n v="0"/>
    <n v="0"/>
    <n v="0"/>
    <n v="0"/>
    <n v="2"/>
    <s v="PD"/>
    <s v="BACTS"/>
    <n v="18"/>
    <s v="Traffic Signals (Stop &amp; Go)"/>
    <s v="Unposted"/>
    <n v="3"/>
    <s v="Penobscot"/>
    <s v="2018-27244"/>
    <s v="BREWER POLICE DEPARTMENT"/>
    <s v="18-077795"/>
    <n v="44.797198219999999"/>
    <n v="-68.761575919999999"/>
    <n v="9"/>
    <s v="September"/>
    <s v="19050"/>
    <n v="4041936"/>
    <n v="4"/>
    <s v="4 - Eastern Region"/>
    <s v="2"/>
    <s v="Urban"/>
    <s v="ELEMENT"/>
    <n v="173997"/>
    <n v="0.02"/>
  </r>
  <r>
    <x v="0"/>
    <s v="2019-44440"/>
    <d v="2019-03-04T00:00:00"/>
    <s v="Brewer"/>
    <s v="Monday"/>
    <s v="07:25:00"/>
    <x v="6"/>
    <s v="Road Surface Condition (Wet, Icy, Snow, Slush, etc.)"/>
    <s v="Daylight"/>
    <s v="Intersection Movement"/>
    <s v="Four Leg Intersection"/>
    <s v="Snow"/>
    <s v="Snow"/>
    <s v="Yes"/>
    <s v="No Contributing Action"/>
    <m/>
    <s v="Drove Too Fast For Conditions"/>
    <s v="Ran Red Light"/>
    <n v="39690"/>
    <s v="0009B"/>
    <s v="ST RTE 9B"/>
    <n v="10.28"/>
    <n v="1"/>
    <n v="22335.5"/>
    <m/>
    <s v="N"/>
    <s v="N"/>
    <s v="N"/>
    <s v="N"/>
    <s v="No"/>
    <s v="No"/>
    <n v="2"/>
    <n v="2"/>
    <n v="0"/>
    <n v="0"/>
    <n v="0"/>
    <n v="0"/>
    <n v="0"/>
    <n v="2"/>
    <s v="PD"/>
    <s v="BACTS"/>
    <n v="7"/>
    <s v="Traffic Signals (Stop &amp; Go)"/>
    <s v="Unknown"/>
    <n v="2"/>
    <s v="Penobscot"/>
    <s v="2019-44440"/>
    <s v="BREWER POLICE DEPARTMENT"/>
    <s v="19-016155"/>
    <n v="44.797049999999999"/>
    <n v="-68.761350000000007"/>
    <n v="3"/>
    <s v="March"/>
    <s v="19050"/>
    <n v="4041936"/>
    <n v="4"/>
    <s v="4 - Eastern Region"/>
    <s v="2"/>
    <s v="Urban"/>
    <s v="NODE"/>
    <n v="180996"/>
    <n v="0"/>
  </r>
  <r>
    <x v="0"/>
    <s v="2020-20898"/>
    <d v="2020-08-30T00:00:00"/>
    <s v="Brewer"/>
    <s v="Sunday"/>
    <s v="08:05:00"/>
    <x v="5"/>
    <s v="None"/>
    <s v="Daylight"/>
    <s v="Rear End / Sideswipe"/>
    <s v="Straight Road"/>
    <s v="Dry"/>
    <s v="Clear"/>
    <s v="Yes"/>
    <s v="Failed to Keep in Proper Lane"/>
    <m/>
    <s v="No Contributing Action"/>
    <m/>
    <m/>
    <s v="0009B"/>
    <s v="ST RTE 9B"/>
    <n v="10.33"/>
    <n v="2"/>
    <n v="12872"/>
    <n v="25"/>
    <s v="N"/>
    <s v="N"/>
    <s v="N"/>
    <s v="N"/>
    <s v="No"/>
    <s v="No"/>
    <n v="2"/>
    <n v="2"/>
    <n v="0"/>
    <n v="0"/>
    <n v="0"/>
    <n v="0"/>
    <n v="0"/>
    <n v="2"/>
    <s v="PD"/>
    <s v="BACTS"/>
    <n v="8"/>
    <s v="Other"/>
    <s v="Posted"/>
    <n v="1"/>
    <s v="Penobscot"/>
    <s v="2020-20898"/>
    <s v="BREWER POLICE DEPARTMENT"/>
    <s v="20-066465"/>
    <n v="44.797504480000001"/>
    <n v="-68.760506079999999"/>
    <n v="8"/>
    <s v="August"/>
    <s v="19050"/>
    <n v="4041934"/>
    <n v="4"/>
    <s v="4 - Eastern Region"/>
    <s v="2"/>
    <s v="Urban"/>
    <s v="ELEMENT"/>
    <n v="182227"/>
    <n v="0.02"/>
  </r>
  <r>
    <x v="0"/>
    <s v="2020-20451"/>
    <d v="2020-08-28T00:00:00"/>
    <s v="Brewer"/>
    <s v="Friday"/>
    <s v="17:25:00"/>
    <x v="5"/>
    <s v="None"/>
    <s v="Daylight"/>
    <s v="Rear End / Sideswipe"/>
    <s v="Straight Road"/>
    <s v="Dry"/>
    <s v="Clear"/>
    <m/>
    <s v="Failed to Yield Right-of-Way"/>
    <s v="No Contributing Action"/>
    <s v="No Contributing Action"/>
    <m/>
    <m/>
    <s v="0009B"/>
    <s v="ST RTE 9B"/>
    <n v="10.34"/>
    <n v="2"/>
    <n v="12872"/>
    <n v="25"/>
    <s v="N"/>
    <s v="N"/>
    <s v="N"/>
    <s v="N"/>
    <s v="No"/>
    <s v="No"/>
    <n v="2"/>
    <n v="2"/>
    <n v="0"/>
    <n v="0"/>
    <n v="0"/>
    <n v="0"/>
    <n v="0"/>
    <n v="2"/>
    <s v="PD"/>
    <s v="BACTS"/>
    <n v="17"/>
    <s v="None"/>
    <s v="Posted"/>
    <n v="6"/>
    <s v="Penobscot"/>
    <s v="2020-20451"/>
    <s v="BREWER POLICE DEPARTMENT"/>
    <s v="20-066080"/>
    <n v="44.797592000000002"/>
    <n v="-68.760342320000007"/>
    <n v="8"/>
    <s v="August"/>
    <s v="19050"/>
    <n v="4041934"/>
    <n v="4"/>
    <s v="4 - Eastern Region"/>
    <s v="2"/>
    <s v="Urban"/>
    <s v="ELEMENT"/>
    <n v="182534"/>
    <n v="0.01"/>
  </r>
  <r>
    <x v="0"/>
    <s v="2022-29705"/>
    <d v="2022-10-06T00:00:00"/>
    <s v="Brewer"/>
    <s v="Thursday"/>
    <s v="16:21:00"/>
    <x v="3"/>
    <s v="None"/>
    <s v="Daylight"/>
    <s v="Rear End / Sideswipe"/>
    <s v="Four Leg Intersection"/>
    <s v="Dry"/>
    <s v="Clear"/>
    <s v="Yes"/>
    <s v="Followed Too Closely"/>
    <m/>
    <s v="No Contributing Action"/>
    <m/>
    <n v="39690"/>
    <s v="0009B"/>
    <s v="ST RTE 9B"/>
    <n v="10.28"/>
    <n v="1"/>
    <n v="22335.5"/>
    <m/>
    <s v="N"/>
    <s v="N"/>
    <m/>
    <s v="N"/>
    <s v="No"/>
    <s v="No"/>
    <n v="2"/>
    <n v="3"/>
    <n v="0"/>
    <n v="0"/>
    <n v="0"/>
    <n v="0"/>
    <n v="0"/>
    <n v="3"/>
    <s v="PD"/>
    <s v="BACTS"/>
    <n v="16"/>
    <s v="Traffic Signals (Stop &amp; Go)"/>
    <s v="Unknown"/>
    <n v="5"/>
    <s v="Penobscot"/>
    <s v="2022-29705"/>
    <s v="BREWER POLICE DEPARTMENT"/>
    <s v="22-075857"/>
    <n v="44.797049169999987"/>
    <n v="-68.761350610000008"/>
    <n v="10"/>
    <s v="October"/>
    <s v="19050"/>
    <n v="4041936"/>
    <n v="4"/>
    <s v="4 - Eastern Region"/>
    <s v="2"/>
    <s v="Urban"/>
    <s v="NODE"/>
    <n v="184712"/>
    <n v="0"/>
  </r>
  <r>
    <x v="0"/>
    <s v="2022-28130"/>
    <d v="2022-09-21T00:00:00"/>
    <s v="Brewer"/>
    <s v="Wednesday"/>
    <s v="14:19:00"/>
    <x v="3"/>
    <s v="None"/>
    <s v="Daylight"/>
    <s v="Rear End / Sideswipe"/>
    <s v="Straight Road"/>
    <s v="Dry"/>
    <s v="Cloudy"/>
    <m/>
    <s v="No Contributing Action"/>
    <m/>
    <m/>
    <m/>
    <m/>
    <s v="0009B"/>
    <s v="ST RTE 9B"/>
    <n v="10.3"/>
    <n v="2"/>
    <n v="4201"/>
    <n v="25"/>
    <s v="N"/>
    <s v="N"/>
    <m/>
    <s v="N"/>
    <s v="No"/>
    <s v="No"/>
    <n v="2"/>
    <n v="1"/>
    <n v="0"/>
    <n v="0"/>
    <n v="0"/>
    <n v="0"/>
    <n v="0"/>
    <n v="1"/>
    <s v="PD"/>
    <s v="BACTS"/>
    <n v="14"/>
    <s v="None"/>
    <s v="Posted"/>
    <n v="4"/>
    <s v="Penobscot"/>
    <s v="2022-28130"/>
    <s v="BREWER POLICE DEPARTMENT"/>
    <s v="22-071344"/>
    <n v="44.797203639999999"/>
    <n v="-68.760976460000009"/>
    <n v="9"/>
    <s v="September"/>
    <s v="19050"/>
    <n v="4041942"/>
    <n v="4"/>
    <s v="4 - Eastern Region"/>
    <s v="2"/>
    <s v="Urban"/>
    <s v="ELEMENT"/>
    <n v="187252"/>
    <n v="0.01"/>
  </r>
  <r>
    <x v="0"/>
    <s v="2024-3246"/>
    <d v="2024-01-26T00:00:00"/>
    <s v="Brewer"/>
    <s v="Friday   "/>
    <s v="10:40:00"/>
    <x v="4"/>
    <s v="Road Surface Condition (Wet, Icy, Snow, Slush, etc.)"/>
    <s v="Daylight"/>
    <s v="Went Off Road"/>
    <s v="Four Leg Intersection"/>
    <s v="Snow"/>
    <s v="Snow"/>
    <s v="Yes"/>
    <s v="Drove Too Fast For Conditions"/>
    <s v="Improper Turn"/>
    <m/>
    <m/>
    <n v="39690"/>
    <s v="0009B"/>
    <s v="ST RTE 9B"/>
    <n v="10.28"/>
    <n v="1"/>
    <n v="22335.5"/>
    <m/>
    <s v="N"/>
    <s v="N"/>
    <m/>
    <s v="N"/>
    <s v="No"/>
    <s v="No"/>
    <n v="1"/>
    <n v="1"/>
    <n v="0"/>
    <n v="0"/>
    <n v="0"/>
    <n v="0"/>
    <n v="0"/>
    <n v="1"/>
    <s v="PD"/>
    <s v="BACTS"/>
    <n v="10"/>
    <s v="Traffic Signals (Stop &amp; Go)"/>
    <s v="Unknown"/>
    <n v="6"/>
    <s v="Penobscot"/>
    <s v="2024-03246"/>
    <s v="PENOBSCOT COUNTY SHERIFFS DEPT"/>
    <s v="24-006257"/>
    <n v="44.797049169999987"/>
    <n v="-68.761350610000008"/>
    <n v="1"/>
    <s v="January"/>
    <s v="19050"/>
    <n v="4041936"/>
    <n v="4"/>
    <s v="4 - Eastern Region"/>
    <s v="2"/>
    <s v="Urban"/>
    <s v="NODE"/>
    <n v="188056"/>
    <n v="0"/>
  </r>
  <r>
    <x v="0"/>
    <s v="2022-30654"/>
    <d v="2022-10-21T00:00:00"/>
    <s v="Brewer"/>
    <s v="Friday"/>
    <s v="08:30:00"/>
    <x v="3"/>
    <s v="None"/>
    <s v="Daylight"/>
    <s v="Intersection Movement"/>
    <s v="Four Leg Intersection"/>
    <s v="Dry"/>
    <s v="Clear"/>
    <s v="Yes"/>
    <m/>
    <m/>
    <s v="Unknown"/>
    <m/>
    <n v="39690"/>
    <s v="0009B"/>
    <s v="ST RTE 9B"/>
    <n v="10.28"/>
    <n v="1"/>
    <n v="22335.5"/>
    <m/>
    <s v="N"/>
    <s v="N"/>
    <m/>
    <s v="N"/>
    <s v="No"/>
    <s v="No"/>
    <n v="2"/>
    <n v="1"/>
    <n v="0"/>
    <n v="0"/>
    <n v="0"/>
    <n v="0"/>
    <n v="0"/>
    <n v="1"/>
    <s v="PD"/>
    <s v="BACTS"/>
    <n v="8"/>
    <s v="Traffic Signals (Stop &amp; Go)"/>
    <s v="Unknown"/>
    <n v="6"/>
    <s v="Penobscot"/>
    <s v="2022-30654"/>
    <s v="PENOBSCOT COUNTY SHERIFFS DEPT"/>
    <s v="22-079755"/>
    <n v="44.797049169999987"/>
    <n v="-68.761350610000008"/>
    <n v="10"/>
    <s v="October"/>
    <s v="19050"/>
    <n v="4041936"/>
    <n v="4"/>
    <s v="4 - Eastern Region"/>
    <s v="2"/>
    <s v="Urban"/>
    <s v="NODE"/>
    <n v="189740"/>
    <n v="0"/>
  </r>
  <r>
    <x v="0"/>
    <s v="2021-10294"/>
    <d v="2021-04-24T00:00:00"/>
    <s v="Brewer"/>
    <s v="Saturday"/>
    <s v="11:45:00"/>
    <x v="7"/>
    <s v="None"/>
    <s v="Daylight"/>
    <s v="Rear End / Sideswipe"/>
    <s v="Four Leg Intersection"/>
    <s v="Dry"/>
    <s v="Clear"/>
    <s v="Yes"/>
    <s v="Followed Too Closely"/>
    <m/>
    <s v="No Contributing Action"/>
    <m/>
    <n v="39690"/>
    <s v="0009B"/>
    <s v="ST RTE 9B"/>
    <n v="10.28"/>
    <n v="1"/>
    <n v="22335.5"/>
    <m/>
    <s v="N"/>
    <s v="N"/>
    <s v="N"/>
    <s v="N"/>
    <s v="No"/>
    <s v="No"/>
    <n v="2"/>
    <n v="3"/>
    <n v="0"/>
    <n v="0"/>
    <n v="0"/>
    <n v="0"/>
    <n v="0"/>
    <n v="3"/>
    <s v="PD"/>
    <s v="BACTS"/>
    <n v="11"/>
    <s v="Traffic Signals (Stop &amp; Go)"/>
    <s v="Unknown"/>
    <n v="7"/>
    <s v="Penobscot"/>
    <s v="2021-10294"/>
    <s v="BREWER POLICE DEPARTMENT"/>
    <s v="21-027909"/>
    <n v="44.797049169999987"/>
    <n v="-68.761350610000008"/>
    <n v="4"/>
    <s v="April"/>
    <s v="19050"/>
    <n v="4041936"/>
    <n v="4"/>
    <s v="4 - Eastern Region"/>
    <s v="2"/>
    <s v="Urban"/>
    <s v="NODE"/>
    <n v="190722"/>
    <n v="0"/>
  </r>
  <r>
    <x v="0"/>
    <s v="2020-23301"/>
    <d v="2020-09-23T00:00:00"/>
    <s v="Brewer"/>
    <s v="Wednesday"/>
    <s v="08:45:00"/>
    <x v="5"/>
    <s v="None"/>
    <s v="Daylight"/>
    <s v="Rear End / Sideswipe"/>
    <s v="Driveways"/>
    <s v="Dry"/>
    <s v="Clear"/>
    <s v="Yes"/>
    <s v="No Contributing Action"/>
    <m/>
    <s v="No Contributing Action"/>
    <m/>
    <m/>
    <s v="0009B"/>
    <s v="ST RTE 9B"/>
    <n v="10.33"/>
    <n v="2"/>
    <n v="12872"/>
    <n v="25"/>
    <s v="N"/>
    <s v="N"/>
    <s v="N"/>
    <s v="N"/>
    <s v="No"/>
    <s v="No"/>
    <n v="2"/>
    <n v="2"/>
    <n v="0"/>
    <n v="0"/>
    <n v="0"/>
    <n v="0"/>
    <n v="0"/>
    <n v="2"/>
    <s v="PD"/>
    <s v="BACTS"/>
    <n v="8"/>
    <s v="Traffic Signals (Stop &amp; Go)"/>
    <s v="Posted"/>
    <n v="4"/>
    <s v="Penobscot"/>
    <s v="2020-23301"/>
    <s v="BREWER POLICE DEPARTMENT"/>
    <s v="20-073558"/>
    <n v="44.797467240000003"/>
    <n v="-68.760575759999995"/>
    <n v="9"/>
    <s v="September"/>
    <s v="19050"/>
    <n v="4041934"/>
    <n v="4"/>
    <s v="4 - Eastern Region"/>
    <s v="2"/>
    <s v="Urban"/>
    <s v="ELEMENT"/>
    <n v="191593"/>
    <n v="0.02"/>
  </r>
  <r>
    <x v="0"/>
    <s v="2020-23303"/>
    <d v="2020-09-29T00:00:00"/>
    <s v="Brewer"/>
    <s v="Tuesday"/>
    <s v="10:25:00"/>
    <x v="5"/>
    <s v="None"/>
    <s v="Daylight"/>
    <s v="Went Off Road"/>
    <s v="Parking Lot"/>
    <s v="Dry"/>
    <s v="Cloudy"/>
    <m/>
    <m/>
    <m/>
    <m/>
    <m/>
    <m/>
    <s v="0009B"/>
    <s v="ST RTE 9B"/>
    <n v="10.32"/>
    <n v="2"/>
    <n v="12872"/>
    <n v="25"/>
    <s v="N"/>
    <s v="N"/>
    <s v="N"/>
    <s v="N"/>
    <s v="No"/>
    <s v="No"/>
    <n v="1"/>
    <n v="1"/>
    <n v="0"/>
    <n v="0"/>
    <n v="0"/>
    <n v="0"/>
    <n v="0"/>
    <n v="0"/>
    <s v="PD"/>
    <s v="BACTS"/>
    <n v="10"/>
    <s v="None"/>
    <s v="Posted"/>
    <n v="3"/>
    <s v="Penobscot"/>
    <s v="2020-23303"/>
    <s v="BREWER POLICE DEPARTMENT"/>
    <s v="20-075443"/>
    <n v="44.797395989999998"/>
    <n v="-68.760709070000004"/>
    <n v="9"/>
    <s v="September"/>
    <s v="19050"/>
    <n v="4041934"/>
    <n v="4"/>
    <s v="4 - Eastern Region"/>
    <s v="2"/>
    <s v="Urban"/>
    <s v="ELEMENT"/>
    <n v="191607"/>
    <n v="0.03"/>
  </r>
  <r>
    <x v="0"/>
    <s v="2020-30297"/>
    <d v="2020-11-18T00:00:00"/>
    <s v="Brewer"/>
    <s v="Wednesday"/>
    <s v="13:07:00"/>
    <x v="5"/>
    <s v="None"/>
    <s v="Daylight"/>
    <s v="Rear End / Sideswipe"/>
    <s v="Four Leg Intersection"/>
    <s v="Dry"/>
    <s v="Clear"/>
    <m/>
    <s v="Followed Too Closely"/>
    <m/>
    <s v="No Contributing Action"/>
    <m/>
    <n v="39112"/>
    <s v="0009B"/>
    <s v="ST RTE 9B"/>
    <n v="10.35"/>
    <n v="2"/>
    <n v="12554"/>
    <m/>
    <s v="N"/>
    <s v="N"/>
    <s v="N"/>
    <s v="N"/>
    <s v="No"/>
    <s v="No"/>
    <n v="2"/>
    <n v="4"/>
    <n v="1"/>
    <n v="0"/>
    <n v="0"/>
    <n v="0"/>
    <n v="1"/>
    <n v="3"/>
    <s v="C"/>
    <s v="BACTS"/>
    <n v="13"/>
    <s v="None"/>
    <s v="Unknown"/>
    <n v="4"/>
    <s v="Penobscot"/>
    <s v="2020-30297"/>
    <s v="BREWER POLICE DEPARTMENT"/>
    <s v="20-089105"/>
    <n v="44.797687420000003"/>
    <n v="-68.760163789999993"/>
    <n v="11"/>
    <s v="November"/>
    <s v="19050"/>
    <n v="3132103"/>
    <n v="4"/>
    <s v="4 - Eastern Region"/>
    <s v="2"/>
    <s v="Urban"/>
    <s v="NODE"/>
    <n v="196402"/>
    <n v="0"/>
  </r>
  <r>
    <x v="0"/>
    <s v="2023-18641"/>
    <d v="2023-06-27T00:00:00"/>
    <s v="Brewer"/>
    <s v="Tuesday"/>
    <s v="08:10:00"/>
    <x v="0"/>
    <s v="None"/>
    <s v="Daylight"/>
    <s v="Rear End / Sideswipe"/>
    <s v="Straight Road"/>
    <s v="Wet"/>
    <s v="Clear"/>
    <m/>
    <s v="No Contributing Action"/>
    <m/>
    <s v="No Contributing Action"/>
    <m/>
    <m/>
    <s v="0009B"/>
    <s v="ST RTE 9B"/>
    <n v="10.34"/>
    <n v="2"/>
    <n v="12872"/>
    <n v="25"/>
    <s v="N"/>
    <s v="N"/>
    <m/>
    <s v="N"/>
    <s v="No"/>
    <s v="No"/>
    <n v="2"/>
    <n v="4"/>
    <n v="0"/>
    <n v="0"/>
    <n v="0"/>
    <n v="0"/>
    <n v="0"/>
    <n v="4"/>
    <s v="PD"/>
    <s v="BACTS"/>
    <n v="8"/>
    <s v="None"/>
    <s v="Posted"/>
    <n v="3"/>
    <s v="Penobscot"/>
    <s v="2023-18641"/>
    <s v="BREWER POLICE DEPARTMENT"/>
    <s v="23-048703"/>
    <n v="44.797620860000002"/>
    <n v="-68.760288320000001"/>
    <n v="6"/>
    <s v="June"/>
    <s v="19050"/>
    <n v="4041934"/>
    <n v="4"/>
    <s v="4 - Eastern Region"/>
    <s v="2"/>
    <s v="Urban"/>
    <s v="ELEMENT"/>
    <n v="200176"/>
    <n v="0.01"/>
  </r>
  <r>
    <x v="0"/>
    <s v="2022-7593"/>
    <d v="2022-01-14T00:00:00"/>
    <s v="Brewer"/>
    <s v="Friday"/>
    <s v="20:25:00"/>
    <x v="3"/>
    <s v="None"/>
    <s v="Dark - Lighted"/>
    <s v="Rear End / Sideswipe"/>
    <s v="Four Leg Intersection"/>
    <s v="Dry"/>
    <s v="Clear"/>
    <s v="Yes"/>
    <s v="Followed Too Closely"/>
    <m/>
    <s v="No Contributing Action"/>
    <m/>
    <n v="39690"/>
    <s v="0009B"/>
    <s v="ST RTE 9B"/>
    <n v="10.28"/>
    <n v="1"/>
    <n v="22335.5"/>
    <m/>
    <s v="N"/>
    <s v="N"/>
    <s v="N"/>
    <s v="N"/>
    <s v="No"/>
    <s v="No"/>
    <n v="2"/>
    <n v="3"/>
    <n v="0"/>
    <n v="0"/>
    <n v="0"/>
    <n v="0"/>
    <n v="0"/>
    <n v="3"/>
    <s v="PD"/>
    <s v="BACTS"/>
    <n v="20"/>
    <s v="Traffic Signals (Stop &amp; Go)"/>
    <s v="Unknown"/>
    <n v="6"/>
    <s v="Penobscot"/>
    <s v="2022-07593"/>
    <s v="BREWER POLICE DEPARTMENT"/>
    <s v="22-003577"/>
    <n v="44.797049999999999"/>
    <n v="-68.761350000000007"/>
    <n v="1"/>
    <s v="January"/>
    <s v="19050"/>
    <n v="4041936"/>
    <n v="4"/>
    <s v="4 - Eastern Region"/>
    <s v="2"/>
    <s v="Urban"/>
    <s v="NODE"/>
    <n v="204592"/>
    <n v="0"/>
  </r>
  <r>
    <x v="0"/>
    <s v="2021-25637"/>
    <d v="2021-09-20T00:00:00"/>
    <s v="Brewer"/>
    <s v="Monday"/>
    <s v="06:30:00"/>
    <x v="7"/>
    <s v="None"/>
    <s v="Daylight"/>
    <s v="Rear End / Sideswipe"/>
    <s v="Three Leg Intersection"/>
    <s v="Dry"/>
    <s v="Clear"/>
    <s v="Yes"/>
    <s v="Other Contributing Action"/>
    <m/>
    <s v="No Contributing Action"/>
    <m/>
    <n v="39690"/>
    <s v="0009B"/>
    <s v="ST RTE 9B"/>
    <n v="10.28"/>
    <n v="1"/>
    <n v="22335.5"/>
    <m/>
    <s v="N"/>
    <s v="N"/>
    <s v="N"/>
    <s v="N"/>
    <s v="No"/>
    <s v="No"/>
    <n v="2"/>
    <n v="2"/>
    <n v="1"/>
    <n v="0"/>
    <n v="0"/>
    <n v="0"/>
    <n v="1"/>
    <n v="1"/>
    <s v="C"/>
    <s v="BACTS"/>
    <n v="6"/>
    <s v="Yield Sign"/>
    <s v="Unknown"/>
    <n v="2"/>
    <s v="Penobscot"/>
    <s v="2021-25637"/>
    <s v="BREWER POLICE DEPARTMENT"/>
    <s v="21-071311"/>
    <n v="44.797342489999998"/>
    <n v="-68.761545810000001"/>
    <n v="9"/>
    <s v="September"/>
    <s v="19050"/>
    <n v="4041936"/>
    <n v="4"/>
    <s v="4 - Eastern Region"/>
    <s v="2"/>
    <s v="Urban"/>
    <s v="NODE"/>
    <n v="206254"/>
    <n v="0"/>
  </r>
  <r>
    <x v="0"/>
    <s v="2021-14651"/>
    <d v="2021-06-12T00:00:00"/>
    <s v="Brewer"/>
    <s v="Saturday"/>
    <s v="19:35:00"/>
    <x v="7"/>
    <s v="None"/>
    <s v="Daylight"/>
    <s v="Other"/>
    <s v="Four Leg Intersection"/>
    <s v="Dry"/>
    <s v="Clear"/>
    <s v="Yes"/>
    <s v="Operated Motor Vehicle in Erratic, Reckless, Careless, Negligent or Aggressive Manner"/>
    <m/>
    <m/>
    <m/>
    <n v="39690"/>
    <s v="0009B"/>
    <s v="ST RTE 9B"/>
    <n v="10.28"/>
    <n v="1"/>
    <n v="22335.5"/>
    <m/>
    <s v="N"/>
    <s v="N"/>
    <s v="N"/>
    <s v="Y"/>
    <s v="No"/>
    <s v="No"/>
    <n v="1"/>
    <n v="2"/>
    <n v="1"/>
    <n v="0"/>
    <n v="0"/>
    <n v="0"/>
    <n v="1"/>
    <n v="1"/>
    <s v="C"/>
    <s v="BACTS"/>
    <n v="19"/>
    <s v="Traffic Signals (Stop &amp; Go)"/>
    <s v="Unknown"/>
    <n v="7"/>
    <s v="Penobscot"/>
    <s v="2021-14651"/>
    <s v="BREWER POLICE DEPARTMENT"/>
    <s v="21-041785"/>
    <n v="44.797049169999987"/>
    <n v="-68.761350610000008"/>
    <n v="6"/>
    <s v="June"/>
    <s v="19050"/>
    <n v="4041936"/>
    <n v="4"/>
    <s v="4 - Eastern Region"/>
    <s v="2"/>
    <s v="Urban"/>
    <s v="NODE"/>
    <n v="215142"/>
    <n v="0"/>
  </r>
  <r>
    <x v="0"/>
    <s v="2018-36153"/>
    <d v="2018-11-21T00:00:00"/>
    <s v="Brewer"/>
    <s v="Wednesday"/>
    <s v="08:53:00"/>
    <x v="2"/>
    <s v="None"/>
    <s v="Daylight"/>
    <s v="Rear End / Sideswipe"/>
    <s v="Four Leg Intersection"/>
    <s v="Wet"/>
    <s v="Clear"/>
    <s v="Yes"/>
    <s v="Failed to Keep in Proper Lane"/>
    <m/>
    <s v="No Contributing Action"/>
    <m/>
    <n v="39690"/>
    <s v="0009B"/>
    <s v="ST RTE 9B"/>
    <n v="10.28"/>
    <n v="1"/>
    <n v="22335.5"/>
    <m/>
    <s v="N"/>
    <s v="N"/>
    <s v="N"/>
    <s v="N"/>
    <s v="No"/>
    <s v="No"/>
    <n v="2"/>
    <n v="4"/>
    <n v="0"/>
    <n v="0"/>
    <n v="0"/>
    <n v="0"/>
    <n v="0"/>
    <n v="4"/>
    <s v="PD"/>
    <s v="BACTS"/>
    <n v="8"/>
    <s v="Traffic Signals (Stop &amp; Go)"/>
    <s v="Unknown"/>
    <n v="4"/>
    <s v="Penobscot"/>
    <s v="2018-36153"/>
    <s v="BREWER POLICE DEPARTMENT"/>
    <s v="18-093906"/>
    <n v="44.797049169999987"/>
    <n v="-68.761350610000008"/>
    <n v="11"/>
    <s v="November"/>
    <s v="19050"/>
    <n v="4041936"/>
    <n v="4"/>
    <s v="4 - Eastern Region"/>
    <s v="2"/>
    <s v="Urban"/>
    <s v="NODE"/>
    <n v="219311"/>
    <n v="0"/>
  </r>
  <r>
    <x v="0"/>
    <s v="2020-20897"/>
    <d v="2020-08-31T00:00:00"/>
    <s v="Brewer"/>
    <s v="Monday"/>
    <s v="05:02:00"/>
    <x v="5"/>
    <s v="None"/>
    <s v="Dawn"/>
    <s v="Intersection Movement"/>
    <s v="Four Leg Intersection"/>
    <s v="Dry"/>
    <s v="Clear"/>
    <s v="Yes"/>
    <s v="Failed to Yield Right-of-Way"/>
    <m/>
    <s v="No Contributing Action"/>
    <m/>
    <n v="39112"/>
    <s v="0009B"/>
    <s v="ST RTE 9B"/>
    <n v="10.35"/>
    <n v="2"/>
    <n v="12554"/>
    <m/>
    <s v="N"/>
    <s v="N"/>
    <s v="N"/>
    <s v="N"/>
    <s v="No"/>
    <s v="No"/>
    <n v="2"/>
    <n v="2"/>
    <n v="0"/>
    <n v="0"/>
    <n v="0"/>
    <n v="0"/>
    <n v="0"/>
    <n v="2"/>
    <s v="PD"/>
    <s v="BACTS"/>
    <n v="5"/>
    <s v="Stop Signs - Other"/>
    <s v="Unknown"/>
    <n v="2"/>
    <s v="Penobscot"/>
    <s v="2020-20897"/>
    <s v="BREWER POLICE DEPARTMENT"/>
    <s v="20-066672"/>
    <n v="44.797687420000003"/>
    <n v="-68.760163789999993"/>
    <n v="8"/>
    <s v="August"/>
    <s v="19050"/>
    <n v="3132103"/>
    <n v="4"/>
    <s v="4 - Eastern Region"/>
    <s v="2"/>
    <s v="Urban"/>
    <s v="NODE"/>
    <n v="219799"/>
    <n v="0"/>
  </r>
  <r>
    <x v="0"/>
    <s v="2020-22292"/>
    <d v="2020-09-18T00:00:00"/>
    <s v="Brewer"/>
    <s v="Friday"/>
    <s v="16:18:00"/>
    <x v="5"/>
    <s v="None"/>
    <s v="Daylight"/>
    <s v="Rear End / Sideswipe"/>
    <s v="Straight Road"/>
    <s v="Dry"/>
    <s v="Clear"/>
    <m/>
    <s v="Unknown"/>
    <m/>
    <s v="No Contributing Action"/>
    <m/>
    <m/>
    <s v="0009B"/>
    <s v="ST RTE 9B"/>
    <n v="10.33"/>
    <n v="2"/>
    <n v="12872"/>
    <n v="25"/>
    <s v="N"/>
    <s v="N"/>
    <s v="N"/>
    <s v="N"/>
    <s v="No"/>
    <s v="No"/>
    <n v="2"/>
    <n v="3"/>
    <n v="0"/>
    <n v="0"/>
    <n v="0"/>
    <n v="0"/>
    <n v="0"/>
    <n v="3"/>
    <s v="PD"/>
    <s v="BACTS"/>
    <n v="16"/>
    <s v="None"/>
    <s v="Posted"/>
    <n v="6"/>
    <s v="Penobscot"/>
    <s v="2020-22292"/>
    <s v="BREWER POLICE DEPARTMENT"/>
    <s v="20-072273"/>
    <n v="44.797504480000001"/>
    <n v="-68.760506079999999"/>
    <n v="9"/>
    <s v="September"/>
    <s v="19050"/>
    <n v="4041934"/>
    <n v="4"/>
    <s v="4 - Eastern Region"/>
    <s v="2"/>
    <s v="Urban"/>
    <s v="ELEMENT"/>
    <n v="220256"/>
    <n v="0.02"/>
  </r>
  <r>
    <x v="0"/>
    <s v="2023-40026"/>
    <d v="2023-08-31T00:00:00"/>
    <s v="Brewer"/>
    <s v="Thursday "/>
    <s v="04:13:00"/>
    <x v="0"/>
    <s v="None"/>
    <s v="Dark - Lighted"/>
    <s v="Went Off Road"/>
    <s v="Straight Road"/>
    <s v="Dry"/>
    <s v="Clear"/>
    <m/>
    <s v="Ran Off Roadway"/>
    <m/>
    <m/>
    <m/>
    <m/>
    <s v="0009B"/>
    <s v="ST RTE 9B"/>
    <n v="10.32"/>
    <n v="2"/>
    <n v="12872"/>
    <n v="25"/>
    <s v="N"/>
    <s v="N"/>
    <m/>
    <s v="N"/>
    <s v="No"/>
    <s v="No"/>
    <n v="1"/>
    <n v="1"/>
    <n v="0"/>
    <n v="0"/>
    <n v="0"/>
    <n v="0"/>
    <n v="0"/>
    <n v="1"/>
    <s v="PD"/>
    <s v="BACTS"/>
    <n v="4"/>
    <s v="None"/>
    <s v="Posted"/>
    <n v="5"/>
    <s v="Penobscot"/>
    <s v="2023-40026"/>
    <s v="BREWER POLICE DEPARTMENT"/>
    <s v="23-067665"/>
    <n v="44.797441399999997"/>
    <n v="-68.760624109999995"/>
    <n v="8"/>
    <s v="August"/>
    <s v="19050"/>
    <n v="4041934"/>
    <n v="4"/>
    <s v="4 - Eastern Region"/>
    <s v="2"/>
    <s v="Urban"/>
    <s v="ELEMENT"/>
    <n v="221347"/>
    <n v="0.03"/>
  </r>
  <r>
    <x v="0"/>
    <s v="2023-24230"/>
    <d v="2023-08-14T00:00:00"/>
    <s v="Brewer"/>
    <s v="Monday   "/>
    <s v="16:33:00"/>
    <x v="0"/>
    <s v="None"/>
    <s v="Daylight"/>
    <s v="Rear End / Sideswipe"/>
    <s v="Straight Road"/>
    <s v="Dry"/>
    <s v="Clear"/>
    <m/>
    <s v="Other Contributing Action"/>
    <m/>
    <s v="No Contributing Action"/>
    <m/>
    <m/>
    <s v="0009B"/>
    <s v="ST RTE 9B"/>
    <n v="10.34"/>
    <n v="2"/>
    <n v="12872"/>
    <n v="25"/>
    <s v="N"/>
    <s v="N"/>
    <m/>
    <s v="N"/>
    <s v="No"/>
    <s v="No"/>
    <n v="2"/>
    <n v="2"/>
    <n v="0"/>
    <n v="0"/>
    <n v="0"/>
    <n v="0"/>
    <n v="0"/>
    <n v="2"/>
    <s v="PD"/>
    <s v="BACTS"/>
    <n v="16"/>
    <s v="None"/>
    <s v="Posted"/>
    <n v="2"/>
    <s v="Penobscot"/>
    <s v="2023-24230"/>
    <s v="BREWER POLICE DEPARTMENT"/>
    <s v="23-062970"/>
    <n v="44.797600000000003"/>
    <n v="-68.760329999999996"/>
    <n v="8"/>
    <s v="August"/>
    <s v="19050"/>
    <n v="4041934"/>
    <n v="4"/>
    <s v="4 - Eastern Region"/>
    <s v="2"/>
    <s v="Urban"/>
    <s v="ELEMENT"/>
    <n v="222439"/>
    <n v="0.01"/>
  </r>
  <r>
    <x v="0"/>
    <s v="2021-1075"/>
    <d v="2021-01-13T00:00:00"/>
    <s v="Brewer"/>
    <s v="Wednesday"/>
    <s v="17:08:00"/>
    <x v="7"/>
    <s v="None"/>
    <s v="Dark - Lighted"/>
    <s v="Intersection Movement"/>
    <s v="Four Leg Intersection"/>
    <s v="Dry"/>
    <s v="Clear"/>
    <s v="Yes"/>
    <s v="Failed to Yield Right-of-Way"/>
    <m/>
    <s v="No Contributing Action"/>
    <m/>
    <n v="39690"/>
    <s v="0009B"/>
    <s v="ST RTE 9B"/>
    <n v="10.28"/>
    <n v="1"/>
    <n v="22335.5"/>
    <m/>
    <s v="N"/>
    <s v="N"/>
    <s v="N"/>
    <s v="N"/>
    <s v="No"/>
    <s v="No"/>
    <n v="2"/>
    <n v="2"/>
    <n v="0"/>
    <n v="0"/>
    <n v="0"/>
    <n v="0"/>
    <n v="0"/>
    <n v="2"/>
    <s v="PD"/>
    <s v="BACTS"/>
    <n v="17"/>
    <s v="Traffic Signals (Stop &amp; Go)"/>
    <s v="Unknown"/>
    <n v="4"/>
    <s v="Penobscot"/>
    <s v="2021-01075"/>
    <s v="BREWER POLICE DEPARTMENT"/>
    <s v="21-002972"/>
    <n v="44.797049169999987"/>
    <n v="-68.761350610000008"/>
    <n v="1"/>
    <s v="January"/>
    <s v="19050"/>
    <n v="4041936"/>
    <n v="4"/>
    <s v="4 - Eastern Region"/>
    <s v="2"/>
    <s v="Urban"/>
    <s v="NODE"/>
    <n v="224085"/>
    <n v="0"/>
  </r>
  <r>
    <x v="0"/>
    <s v="2021-913"/>
    <d v="2021-01-11T00:00:00"/>
    <s v="Brewer"/>
    <s v="Monday"/>
    <s v="10:21:00"/>
    <x v="7"/>
    <s v="None"/>
    <s v="Daylight"/>
    <s v="Intersection Movement"/>
    <s v="Four Leg Intersection"/>
    <s v="Dry"/>
    <s v="Clear"/>
    <s v="Yes"/>
    <s v="Ran Red Light"/>
    <m/>
    <s v="No Contributing Action"/>
    <m/>
    <n v="39690"/>
    <s v="0009B"/>
    <s v="ST RTE 9B"/>
    <n v="10.28"/>
    <n v="1"/>
    <n v="22335.5"/>
    <m/>
    <s v="N"/>
    <s v="N"/>
    <s v="N"/>
    <s v="N"/>
    <s v="No"/>
    <s v="No"/>
    <n v="2"/>
    <n v="2"/>
    <n v="0"/>
    <n v="0"/>
    <n v="0"/>
    <n v="0"/>
    <n v="0"/>
    <n v="2"/>
    <s v="PD"/>
    <s v="BACTS"/>
    <n v="10"/>
    <s v="Traffic Signals (Stop &amp; Go)"/>
    <s v="Unknown"/>
    <n v="2"/>
    <s v="Penobscot"/>
    <s v="2021-00913"/>
    <s v="BREWER POLICE DEPARTMENT"/>
    <s v="21-002366"/>
    <n v="44.797049169999987"/>
    <n v="-68.761350610000008"/>
    <n v="1"/>
    <s v="January"/>
    <s v="19050"/>
    <n v="4041936"/>
    <n v="4"/>
    <s v="4 - Eastern Region"/>
    <s v="2"/>
    <s v="Urban"/>
    <s v="NODE"/>
    <n v="224253"/>
    <n v="0"/>
  </r>
  <r>
    <x v="0"/>
    <s v="2020-184"/>
    <d v="2020-01-02T00:00:00"/>
    <s v="Brewer"/>
    <s v="Thursday"/>
    <s v="17:20:00"/>
    <x v="5"/>
    <s v="None"/>
    <s v="Dark - Lighted"/>
    <s v="Rear End / Sideswipe"/>
    <s v="Four Leg Intersection"/>
    <s v="Dry"/>
    <s v="Clear"/>
    <s v="Yes"/>
    <s v="Other Contributing Action"/>
    <m/>
    <s v="No Contributing Action"/>
    <m/>
    <n v="39690"/>
    <s v="0009B"/>
    <s v="ST RTE 9B"/>
    <n v="10.28"/>
    <n v="1"/>
    <n v="22335.5"/>
    <m/>
    <s v="N"/>
    <s v="N"/>
    <s v="N"/>
    <s v="N"/>
    <s v="No"/>
    <s v="No"/>
    <n v="2"/>
    <n v="2"/>
    <n v="0"/>
    <n v="0"/>
    <n v="0"/>
    <n v="0"/>
    <n v="0"/>
    <n v="2"/>
    <s v="PD"/>
    <s v="BACTS"/>
    <n v="17"/>
    <s v="Traffic Signals (Stop &amp; Go)"/>
    <s v="Unknown"/>
    <n v="5"/>
    <s v="Penobscot"/>
    <s v="2020-00184"/>
    <s v="BREWER POLICE DEPARTMENT"/>
    <s v="20-000453"/>
    <n v="44.797049169999987"/>
    <n v="-68.761350610000008"/>
    <n v="1"/>
    <s v="January"/>
    <s v="19050"/>
    <n v="4041936"/>
    <n v="4"/>
    <s v="4 - Eastern Region"/>
    <s v="2"/>
    <s v="Urban"/>
    <s v="NODE"/>
    <n v="226952"/>
    <n v="0"/>
  </r>
  <r>
    <x v="0"/>
    <s v="2018-24318"/>
    <d v="2018-08-28T00:00:00"/>
    <s v="Brewer"/>
    <s v="Tuesday"/>
    <s v="20:33:00"/>
    <x v="2"/>
    <s v="None"/>
    <s v="Dark - Lighted"/>
    <s v="Intersection Movement"/>
    <s v="Four Leg Intersection"/>
    <s v="Wet"/>
    <s v="Cloudy"/>
    <s v="Yes"/>
    <s v="Ran Red Light"/>
    <m/>
    <s v="No Contributing Action"/>
    <m/>
    <n v="39690"/>
    <s v="0009B"/>
    <s v="ST RTE 9B"/>
    <n v="10.28"/>
    <n v="1"/>
    <n v="22335.5"/>
    <m/>
    <s v="N"/>
    <s v="N"/>
    <s v="N"/>
    <s v="N"/>
    <s v="No"/>
    <s v="No"/>
    <n v="2"/>
    <n v="6"/>
    <n v="1"/>
    <n v="0"/>
    <n v="0"/>
    <n v="0"/>
    <n v="1"/>
    <n v="5"/>
    <s v="C"/>
    <s v="BACTS"/>
    <n v="20"/>
    <s v="Traffic Signals (Stop &amp; Go)"/>
    <s v="Unknown"/>
    <n v="3"/>
    <s v="Penobscot"/>
    <s v="2018-24318"/>
    <s v="BREWER POLICE DEPARTMENT"/>
    <s v="18-068850"/>
    <n v="44.797049169999987"/>
    <n v="-68.761350610000008"/>
    <n v="8"/>
    <s v="August"/>
    <s v="19050"/>
    <n v="4041936"/>
    <n v="4"/>
    <s v="4 - Eastern Region"/>
    <s v="2"/>
    <s v="Urban"/>
    <s v="NODE"/>
    <n v="228226"/>
    <n v="0"/>
  </r>
  <r>
    <x v="0"/>
    <s v="2018-24387"/>
    <d v="2018-08-26T00:00:00"/>
    <s v="Brewer"/>
    <s v="Sunday"/>
    <s v="10:52:00"/>
    <x v="2"/>
    <s v="None"/>
    <s v="Daylight"/>
    <s v="Rear End / Sideswipe"/>
    <s v="Straight Road"/>
    <s v="Dry"/>
    <s v="Clear"/>
    <s v="Yes"/>
    <s v="Failed to Keep in Proper Lane"/>
    <m/>
    <s v="Failed to Keep in Proper Lane"/>
    <m/>
    <m/>
    <s v="3201374"/>
    <s v="RD INV 3201374"/>
    <n v="0.97000000000000008"/>
    <n v="1"/>
    <n v="7661"/>
    <n v="30"/>
    <s v="N"/>
    <s v="N"/>
    <s v="N"/>
    <s v="N"/>
    <s v="No"/>
    <s v="No"/>
    <n v="2"/>
    <n v="2"/>
    <n v="0"/>
    <n v="0"/>
    <n v="0"/>
    <n v="0"/>
    <n v="0"/>
    <n v="2"/>
    <s v="PD"/>
    <s v="BACTS"/>
    <n v="10"/>
    <s v="Traffic Signals (Stop &amp; Go)"/>
    <s v="Unposted"/>
    <n v="1"/>
    <s v="Penobscot"/>
    <s v="2018-24387"/>
    <s v="BREWER POLICE DEPARTMENT"/>
    <s v="18-068011"/>
    <n v="44.797163400000002"/>
    <n v="-68.761544409999999"/>
    <n v="8"/>
    <s v="August"/>
    <s v="19050"/>
    <n v="4041936"/>
    <n v="4"/>
    <s v="4 - Eastern Region"/>
    <s v="2"/>
    <s v="Urban"/>
    <s v="ELEMENT"/>
    <n v="235705"/>
    <n v="0.01"/>
  </r>
  <r>
    <x v="0"/>
    <s v="2019-52510"/>
    <d v="2019-05-22T00:00:00"/>
    <s v="Brewer"/>
    <s v="Wednesday"/>
    <s v="17:21:00"/>
    <x v="6"/>
    <s v="None"/>
    <s v="Daylight"/>
    <s v="Rear End / Sideswipe"/>
    <s v="Driveways"/>
    <s v="Dry"/>
    <s v="Clear"/>
    <s v="Yes"/>
    <s v="Improper Passing"/>
    <m/>
    <s v="No Contributing Action"/>
    <m/>
    <m/>
    <s v="0009B"/>
    <s v="ST RTE 9B"/>
    <n v="10.32"/>
    <n v="2"/>
    <n v="12872"/>
    <n v="25"/>
    <s v="N"/>
    <s v="N"/>
    <s v="N"/>
    <s v="N"/>
    <s v="No"/>
    <s v="No"/>
    <n v="2"/>
    <n v="2"/>
    <n v="0"/>
    <n v="0"/>
    <n v="0"/>
    <n v="0"/>
    <n v="0"/>
    <n v="2"/>
    <s v="PD"/>
    <s v="BACTS"/>
    <n v="17"/>
    <s v="No Passing Zone"/>
    <s v="Posted"/>
    <n v="4"/>
    <s v="Penobscot"/>
    <s v="2019-52510"/>
    <s v="BREWER POLICE DEPARTMENT"/>
    <s v="19-038836"/>
    <n v="44.797446299999997"/>
    <n v="-68.760614939999996"/>
    <n v="5"/>
    <s v="May"/>
    <s v="19050"/>
    <n v="4041934"/>
    <n v="4"/>
    <s v="4 - Eastern Region"/>
    <s v="2"/>
    <s v="Urban"/>
    <s v="ELEMENT"/>
    <n v="236433"/>
    <n v="0.03"/>
  </r>
  <r>
    <x v="0"/>
    <s v="2019-79247"/>
    <d v="2019-12-16T00:00:00"/>
    <s v="Brewer"/>
    <s v="Monday"/>
    <s v="13:57:00"/>
    <x v="6"/>
    <s v="None"/>
    <s v="Daylight"/>
    <s v="Rear End / Sideswipe"/>
    <s v="Straight Road"/>
    <s v="Dry"/>
    <s v="Clear"/>
    <m/>
    <s v="Followed Too Closely"/>
    <m/>
    <s v="No Contributing Action"/>
    <m/>
    <m/>
    <s v="3201602"/>
    <s v="RD INV 3201602"/>
    <n v="0.01"/>
    <n v="1"/>
    <n v="5125"/>
    <n v="30"/>
    <s v="N"/>
    <s v="N"/>
    <s v="N"/>
    <s v="N"/>
    <s v="No"/>
    <s v="No"/>
    <n v="2"/>
    <n v="4"/>
    <n v="0"/>
    <n v="0"/>
    <n v="0"/>
    <n v="0"/>
    <n v="0"/>
    <n v="4"/>
    <s v="PD"/>
    <s v="BACTS"/>
    <n v="13"/>
    <s v="None"/>
    <s v="Unposted"/>
    <n v="2"/>
    <s v="Penobscot"/>
    <s v="2019-79247"/>
    <s v="BREWER POLICE DEPARTMENT"/>
    <s v="19-102702"/>
    <n v="44.796821779999988"/>
    <n v="-68.761243660000005"/>
    <n v="12"/>
    <s v="December"/>
    <s v="19050"/>
    <n v="4042173"/>
    <n v="4"/>
    <s v="4 - Eastern Region"/>
    <s v="2"/>
    <s v="Urban"/>
    <s v="ELEMENT"/>
    <n v="236944"/>
    <n v="0.01"/>
  </r>
  <r>
    <x v="0"/>
    <s v="2020-60"/>
    <d v="2020-01-02T00:00:00"/>
    <s v="Brewer"/>
    <s v="Thursday"/>
    <s v="17:35:00"/>
    <x v="5"/>
    <s v="None"/>
    <s v="Dark - Lighted"/>
    <s v="Intersection Movement"/>
    <s v="Four Leg Intersection"/>
    <s v="Dry"/>
    <s v="Clear"/>
    <s v="Yes"/>
    <s v="Other Contributing Action"/>
    <m/>
    <s v="No Contributing Action"/>
    <m/>
    <n v="39690"/>
    <s v="0009B"/>
    <s v="ST RTE 9B"/>
    <n v="10.28"/>
    <n v="1"/>
    <n v="22335.5"/>
    <m/>
    <s v="N"/>
    <s v="N"/>
    <s v="N"/>
    <s v="N"/>
    <s v="No"/>
    <s v="No"/>
    <n v="2"/>
    <n v="2"/>
    <n v="0"/>
    <n v="0"/>
    <n v="0"/>
    <n v="0"/>
    <n v="0"/>
    <n v="2"/>
    <s v="PD"/>
    <s v="BACTS"/>
    <n v="17"/>
    <s v="Traffic Signals (Stop &amp; Go)"/>
    <s v="Unknown"/>
    <n v="5"/>
    <s v="Penobscot"/>
    <s v="2020-00060"/>
    <s v="BREWER POLICE DEPARTMENT"/>
    <s v="20-000458"/>
    <n v="44.797049169999987"/>
    <n v="-68.761350610000008"/>
    <n v="1"/>
    <s v="January"/>
    <s v="19050"/>
    <n v="4041936"/>
    <n v="4"/>
    <s v="4 - Eastern Region"/>
    <s v="2"/>
    <s v="Urban"/>
    <s v="NODE"/>
    <n v="236951"/>
    <n v="0"/>
  </r>
  <r>
    <x v="0"/>
    <s v="2024-3053"/>
    <d v="2024-01-29T00:00:00"/>
    <s v="Brewer"/>
    <s v="Monday   "/>
    <s v="06:45:00"/>
    <x v="4"/>
    <s v="None"/>
    <s v="Daylight"/>
    <s v="Rear End / Sideswipe"/>
    <s v="Straight Road"/>
    <s v="Wet"/>
    <s v="Clear"/>
    <m/>
    <s v="No Contributing Action"/>
    <m/>
    <s v="No Contributing Action"/>
    <m/>
    <m/>
    <s v="0009B"/>
    <s v="ST RTE 9B"/>
    <n v="10.34"/>
    <n v="2"/>
    <n v="12872"/>
    <n v="25"/>
    <s v="N"/>
    <s v="N"/>
    <m/>
    <s v="N"/>
    <s v="No"/>
    <s v="No"/>
    <n v="2"/>
    <n v="3"/>
    <n v="1"/>
    <n v="0"/>
    <n v="0"/>
    <n v="0"/>
    <n v="1"/>
    <n v="2"/>
    <s v="C"/>
    <s v="BACTS"/>
    <n v="6"/>
    <s v="None"/>
    <s v="Posted"/>
    <n v="2"/>
    <s v="Penobscot"/>
    <s v="2024-03053"/>
    <s v="BREWER POLICE DEPARTMENT"/>
    <s v="24-006917"/>
    <n v="44.797602130000001"/>
    <n v="-68.760323360000001"/>
    <n v="1"/>
    <s v="January"/>
    <s v="19050"/>
    <n v="4041934"/>
    <n v="4"/>
    <s v="4 - Eastern Region"/>
    <s v="2"/>
    <s v="Urban"/>
    <s v="ELEMENT"/>
    <n v="240190"/>
    <n v="0.01"/>
  </r>
  <r>
    <x v="0"/>
    <s v="2021-28996"/>
    <d v="2021-10-26T00:00:00"/>
    <s v="Brewer"/>
    <s v="Tuesday"/>
    <s v="08:50:00"/>
    <x v="7"/>
    <s v="None"/>
    <s v="Daylight"/>
    <s v="Rear End / Sideswipe"/>
    <s v="Straight Road"/>
    <s v="Dry"/>
    <s v="Cloudy"/>
    <m/>
    <s v="Followed Too Closely"/>
    <m/>
    <s v="No Contributing Action"/>
    <m/>
    <m/>
    <s v="0009B"/>
    <s v="ST RTE 9B"/>
    <n v="10.36"/>
    <n v="2"/>
    <n v="11829"/>
    <n v="25"/>
    <s v="N"/>
    <s v="N"/>
    <s v="N"/>
    <s v="N"/>
    <s v="No"/>
    <s v="No"/>
    <n v="2"/>
    <n v="3"/>
    <n v="0"/>
    <n v="0"/>
    <n v="0"/>
    <n v="0"/>
    <n v="0"/>
    <n v="3"/>
    <s v="PD"/>
    <s v="BACTS"/>
    <n v="8"/>
    <s v="None"/>
    <s v="Posted"/>
    <n v="3"/>
    <s v="Penobscot"/>
    <s v="2021-28996"/>
    <s v="BREWER POLICE DEPARTMENT"/>
    <s v="21-082033"/>
    <n v="44.797776910000003"/>
    <n v="-68.760000930000004"/>
    <n v="10"/>
    <s v="October"/>
    <s v="19050"/>
    <n v="3132103"/>
    <n v="4"/>
    <s v="4 - Eastern Region"/>
    <s v="2"/>
    <s v="Urban"/>
    <s v="ELEMENT"/>
    <n v="243116"/>
    <n v="0.01"/>
  </r>
  <r>
    <x v="0"/>
    <s v="2022-11022"/>
    <d v="2022-04-04T00:00:00"/>
    <s v="Brewer"/>
    <s v="Monday"/>
    <s v="17:00:00"/>
    <x v="3"/>
    <s v="None"/>
    <s v="Daylight"/>
    <s v="Rear End / Sideswipe"/>
    <s v="Four Leg Intersection"/>
    <s v="Dry"/>
    <s v="Clear"/>
    <s v="Yes"/>
    <s v="Followed Too Closely"/>
    <m/>
    <s v="No Contributing Action"/>
    <m/>
    <n v="39690"/>
    <s v="0009B"/>
    <s v="ST RTE 9B"/>
    <n v="10.28"/>
    <n v="1"/>
    <n v="22335.5"/>
    <m/>
    <s v="N"/>
    <s v="N"/>
    <s v="N"/>
    <s v="N"/>
    <s v="No"/>
    <s v="No"/>
    <n v="2"/>
    <n v="2"/>
    <n v="0"/>
    <n v="0"/>
    <n v="0"/>
    <n v="0"/>
    <n v="0"/>
    <n v="2"/>
    <s v="PD"/>
    <s v="BACTS"/>
    <n v="17"/>
    <s v="Traffic Signals (Stop &amp; Go)"/>
    <s v="Unknown"/>
    <n v="2"/>
    <s v="Penobscot"/>
    <s v="2022-11022"/>
    <s v="BREWER POLICE DEPARTMENT"/>
    <s v="22-024122"/>
    <n v="44.797049169999987"/>
    <n v="-68.761350610000008"/>
    <n v="4"/>
    <s v="April"/>
    <s v="19050"/>
    <n v="4041936"/>
    <n v="4"/>
    <s v="4 - Eastern Region"/>
    <s v="2"/>
    <s v="Urban"/>
    <s v="NODE"/>
    <n v="252663"/>
    <n v="0"/>
  </r>
  <r>
    <x v="0"/>
    <s v="2018-36151"/>
    <d v="2018-11-16T00:00:00"/>
    <s v="Brewer"/>
    <s v="Friday"/>
    <s v="21:21:00"/>
    <x v="2"/>
    <s v="Road Surface Condition (Wet, Icy, Snow, Slush, etc.)"/>
    <s v="Dark - Lighted"/>
    <s v="Intersection Movement"/>
    <s v="Four Leg Intersection"/>
    <s v="Slush"/>
    <s v="Clear"/>
    <s v="Yes"/>
    <s v="Drove Too Fast For Conditions"/>
    <m/>
    <s v="No Contributing Action"/>
    <m/>
    <n v="39690"/>
    <s v="0009B"/>
    <s v="ST RTE 9B"/>
    <n v="10.28"/>
    <n v="1"/>
    <n v="22335.5"/>
    <m/>
    <s v="N"/>
    <s v="N"/>
    <s v="N"/>
    <s v="N"/>
    <s v="No"/>
    <s v="No"/>
    <n v="2"/>
    <n v="2"/>
    <n v="1"/>
    <n v="0"/>
    <n v="0"/>
    <n v="0"/>
    <n v="1"/>
    <n v="1"/>
    <s v="C"/>
    <s v="BACTS"/>
    <n v="21"/>
    <s v="Traffic Signals (Stop &amp; Go)"/>
    <s v="Unknown"/>
    <n v="6"/>
    <s v="Penobscot"/>
    <s v="2018-36151"/>
    <s v="BREWER POLICE DEPARTMENT"/>
    <s v="18-092712"/>
    <n v="44.797049169999987"/>
    <n v="-68.761350610000008"/>
    <n v="11"/>
    <s v="November"/>
    <s v="19050"/>
    <n v="4041936"/>
    <n v="4"/>
    <s v="4 - Eastern Region"/>
    <s v="2"/>
    <s v="Urban"/>
    <s v="NODE"/>
    <n v="252842"/>
    <n v="0"/>
  </r>
  <r>
    <x v="0"/>
    <s v="2023-8751"/>
    <d v="2023-03-15T00:00:00"/>
    <s v="Brewer"/>
    <s v="Wednesday"/>
    <s v="15:59:00"/>
    <x v="0"/>
    <s v="None"/>
    <s v="Daylight"/>
    <s v="Rear End / Sideswipe"/>
    <s v="Four Leg Intersection"/>
    <s v="Dry"/>
    <s v="Clear"/>
    <s v="Yes"/>
    <s v="No Contributing Action"/>
    <m/>
    <m/>
    <m/>
    <n v="39690"/>
    <s v="0009B"/>
    <s v="ST RTE 9B"/>
    <n v="10.28"/>
    <n v="1"/>
    <n v="22335.5"/>
    <m/>
    <s v="N"/>
    <s v="N"/>
    <m/>
    <s v="N"/>
    <s v="No"/>
    <s v="No"/>
    <n v="2"/>
    <n v="1"/>
    <n v="0"/>
    <n v="0"/>
    <n v="0"/>
    <n v="0"/>
    <n v="0"/>
    <n v="1"/>
    <s v="PD"/>
    <s v="BACTS"/>
    <n v="15"/>
    <s v="Traffic Signals (Stop &amp; Go)"/>
    <s v="Unknown"/>
    <n v="4"/>
    <s v="Penobscot"/>
    <s v="2023-08751"/>
    <s v="BREWER POLICE DEPARTMENT"/>
    <s v="23-018576"/>
    <n v="44.797049169999987"/>
    <n v="-68.761350610000008"/>
    <n v="3"/>
    <s v="March"/>
    <s v="19050"/>
    <n v="4041936"/>
    <n v="4"/>
    <s v="4 - Eastern Region"/>
    <s v="2"/>
    <s v="Urban"/>
    <s v="NODE"/>
    <n v="254467"/>
    <n v="0"/>
  </r>
  <r>
    <x v="0"/>
    <s v="2024-11891"/>
    <d v="2024-05-03T00:00:00"/>
    <s v="Brewer"/>
    <s v="Friday   "/>
    <s v="13:00:00"/>
    <x v="4"/>
    <s v="None"/>
    <s v="Daylight"/>
    <s v="Intersection Movement"/>
    <s v="Four Leg Intersection"/>
    <s v="Dry"/>
    <s v="Clear"/>
    <m/>
    <s v="No Contributing Action"/>
    <m/>
    <s v="No Contributing Action"/>
    <m/>
    <n v="39112"/>
    <s v="0009B"/>
    <s v="ST RTE 9B"/>
    <n v="10.35"/>
    <n v="2"/>
    <n v="12554"/>
    <m/>
    <s v="N"/>
    <s v="N"/>
    <m/>
    <s v="N"/>
    <s v="No"/>
    <s v="No"/>
    <n v="2"/>
    <n v="2"/>
    <n v="0"/>
    <n v="0"/>
    <n v="0"/>
    <n v="0"/>
    <n v="0"/>
    <n v="2"/>
    <s v="PD"/>
    <s v="BACTS"/>
    <n v="13"/>
    <s v="None"/>
    <s v="Unknown"/>
    <n v="6"/>
    <s v="Penobscot"/>
    <s v="2024-11891"/>
    <s v="BREWER POLICE DEPARTMENT"/>
    <s v="24-031382"/>
    <n v="44.797687420000003"/>
    <n v="-68.760163789999993"/>
    <n v="5"/>
    <s v="May"/>
    <s v="19050"/>
    <n v="3132103"/>
    <n v="4"/>
    <s v="4 - Eastern Region"/>
    <s v="2"/>
    <s v="Urban"/>
    <s v="NODE"/>
    <n v="255573"/>
    <n v="0"/>
  </r>
  <r>
    <x v="0"/>
    <s v="2024-4212"/>
    <d v="2024-02-08T00:00:00"/>
    <s v="Brewer"/>
    <s v="Thursday "/>
    <s v="18:49:00"/>
    <x v="4"/>
    <s v="None"/>
    <s v="Dark - Lighted"/>
    <s v="Rear End / Sideswipe"/>
    <s v="Driveways"/>
    <s v="Dry"/>
    <s v="Clear"/>
    <m/>
    <s v="Followed Too Closely"/>
    <s v="Other Contributing Action"/>
    <s v="No Contributing Action"/>
    <m/>
    <m/>
    <s v="0009B"/>
    <s v="ST RTE 9B"/>
    <n v="10.34"/>
    <n v="2"/>
    <n v="12872"/>
    <n v="25"/>
    <s v="N"/>
    <s v="N"/>
    <m/>
    <s v="N"/>
    <s v="No"/>
    <s v="No"/>
    <n v="2"/>
    <n v="2"/>
    <n v="0"/>
    <n v="0"/>
    <n v="0"/>
    <n v="0"/>
    <n v="0"/>
    <n v="2"/>
    <s v="PD"/>
    <s v="BACTS"/>
    <n v="18"/>
    <s v="None"/>
    <s v="Posted"/>
    <n v="5"/>
    <s v="Penobscot"/>
    <s v="2024-04212"/>
    <s v="BREWER POLICE DEPARTMENT"/>
    <s v="24-009632"/>
    <n v="44.797619930000003"/>
    <n v="-68.760290049999995"/>
    <n v="2"/>
    <s v="February"/>
    <s v="19050"/>
    <n v="4041934"/>
    <n v="4"/>
    <s v="4 - Eastern Region"/>
    <s v="2"/>
    <s v="Urban"/>
    <s v="ELEMENT"/>
    <n v="255818"/>
    <n v="0.01"/>
  </r>
  <r>
    <x v="0"/>
    <s v="2024-3456"/>
    <d v="2024-02-01T00:00:00"/>
    <s v="Brewer"/>
    <s v="Thursday "/>
    <s v="20:35:00"/>
    <x v="4"/>
    <s v="None"/>
    <s v="Dark - Lighted"/>
    <s v="Intersection Movement"/>
    <s v="Four Leg Intersection"/>
    <s v="Wet"/>
    <s v="Rain"/>
    <s v="Yes"/>
    <s v="Ran Red Light"/>
    <m/>
    <s v="No Contributing Action"/>
    <m/>
    <n v="39690"/>
    <s v="0009B"/>
    <s v="ST RTE 9B"/>
    <n v="10.28"/>
    <n v="1"/>
    <n v="22335.5"/>
    <m/>
    <s v="N"/>
    <s v="N"/>
    <m/>
    <s v="N"/>
    <s v="No"/>
    <s v="No"/>
    <n v="2"/>
    <n v="2"/>
    <n v="0"/>
    <n v="0"/>
    <n v="0"/>
    <n v="0"/>
    <n v="0"/>
    <n v="2"/>
    <s v="PD"/>
    <s v="BACTS"/>
    <n v="20"/>
    <s v="Traffic Signals (Stop &amp; Go)"/>
    <s v="Unknown"/>
    <n v="5"/>
    <s v="Penobscot"/>
    <s v="2024-03456"/>
    <s v="BREWER POLICE DEPARTMENT"/>
    <s v="24-007901"/>
    <n v="44.797049169999987"/>
    <n v="-68.761350610000008"/>
    <n v="2"/>
    <s v="February"/>
    <s v="19050"/>
    <n v="4041936"/>
    <n v="4"/>
    <s v="4 - Eastern Region"/>
    <s v="2"/>
    <s v="Urban"/>
    <s v="NODE"/>
    <n v="257030"/>
    <n v="0"/>
  </r>
  <r>
    <x v="0"/>
    <s v="2024-3781"/>
    <d v="2024-01-31T00:00:00"/>
    <s v="Brewer"/>
    <s v="Wednesday"/>
    <s v="10:44:00"/>
    <x v="4"/>
    <s v="None"/>
    <s v="Daylight"/>
    <s v="Rear End / Sideswipe"/>
    <s v="Three Leg Intersection"/>
    <s v="Dry"/>
    <s v="Clear"/>
    <s v="Yes"/>
    <s v="Followed Too Closely"/>
    <m/>
    <s v="No Contributing Action"/>
    <m/>
    <n v="39690"/>
    <s v="0009B"/>
    <s v="ST RTE 9B"/>
    <n v="10.28"/>
    <n v="1"/>
    <n v="22335.5"/>
    <m/>
    <s v="N"/>
    <s v="N"/>
    <m/>
    <s v="N"/>
    <s v="No"/>
    <s v="No"/>
    <n v="2"/>
    <n v="4"/>
    <n v="0"/>
    <n v="0"/>
    <n v="0"/>
    <n v="0"/>
    <n v="0"/>
    <n v="4"/>
    <s v="PD"/>
    <s v="BACTS"/>
    <n v="10"/>
    <s v="Yield Sign"/>
    <s v="Unknown"/>
    <n v="4"/>
    <s v="Penobscot"/>
    <s v="2024-03781"/>
    <s v="BREWER POLICE DEPARTMENT"/>
    <s v="24-007498"/>
    <n v="44.797342489999998"/>
    <n v="-68.761545810000001"/>
    <n v="1"/>
    <s v="January"/>
    <s v="19050"/>
    <n v="4041936"/>
    <n v="4"/>
    <s v="4 - Eastern Region"/>
    <s v="2"/>
    <s v="Urban"/>
    <s v="NODE"/>
    <n v="257046"/>
    <n v="0"/>
  </r>
  <r>
    <x v="0"/>
    <s v="2024-33468"/>
    <d v="2024-11-23T00:00:00"/>
    <s v="Brewer"/>
    <s v="Saturday "/>
    <s v="15:13:00"/>
    <x v="4"/>
    <s v="None"/>
    <s v="Daylight"/>
    <s v="Rear End / Sideswipe"/>
    <s v="Four Leg Intersection"/>
    <s v="Wet"/>
    <s v="Rain"/>
    <s v="Yes"/>
    <s v="Failed to Keep in Proper Lane"/>
    <s v="No Contributing Action"/>
    <s v="No Contributing Action"/>
    <m/>
    <n v="39690"/>
    <s v="0009B"/>
    <s v="ST RTE 9B"/>
    <n v="10.28"/>
    <n v="1"/>
    <n v="22335.5"/>
    <m/>
    <s v="N"/>
    <s v="N"/>
    <m/>
    <s v="N"/>
    <s v="No"/>
    <s v="No"/>
    <n v="2"/>
    <n v="2"/>
    <n v="0"/>
    <n v="0"/>
    <n v="0"/>
    <n v="0"/>
    <n v="0"/>
    <n v="2"/>
    <s v="PD"/>
    <s v="BACTS"/>
    <n v="15"/>
    <s v="Traffic Signals (Stop &amp; Go)"/>
    <s v="Unknown"/>
    <n v="7"/>
    <s v="Penobscot"/>
    <s v="2024-33468"/>
    <s v="BREWER POLICE DEPARTMENT"/>
    <s v="24-088466"/>
    <n v="44.797049169999987"/>
    <n v="-68.761350610000008"/>
    <n v="11"/>
    <s v="November"/>
    <s v="19050"/>
    <n v="4041936"/>
    <n v="4"/>
    <s v="4 - Eastern Region"/>
    <s v="2"/>
    <s v="Urban"/>
    <s v="NODE"/>
    <n v="258009"/>
    <n v="0"/>
  </r>
  <r>
    <x v="0"/>
    <s v="2019-59123"/>
    <d v="2019-07-18T00:00:00"/>
    <s v="Brewer"/>
    <s v="Thursday"/>
    <s v="16:36:00"/>
    <x v="6"/>
    <s v="None"/>
    <s v="Daylight"/>
    <s v="Rear End / Sideswipe"/>
    <s v="Straight Road"/>
    <s v="Dry"/>
    <s v="Clear"/>
    <s v="Yes"/>
    <s v="No Contributing Action"/>
    <m/>
    <s v="Followed Too Closely"/>
    <s v="Followed Too Closely"/>
    <m/>
    <s v="0009B"/>
    <s v="ST RTE 9B"/>
    <n v="10.29"/>
    <n v="2"/>
    <n v="4201"/>
    <n v="25"/>
    <s v="N"/>
    <s v="N"/>
    <s v="N"/>
    <s v="N"/>
    <s v="No"/>
    <s v="No"/>
    <n v="3"/>
    <n v="3"/>
    <n v="0"/>
    <n v="0"/>
    <n v="0"/>
    <n v="0"/>
    <n v="0"/>
    <n v="3"/>
    <s v="PD"/>
    <s v="BACTS"/>
    <n v="16"/>
    <s v="Traffic Signals (Stop &amp; Go)"/>
    <s v="Posted"/>
    <n v="5"/>
    <s v="Penobscot"/>
    <s v="2019-59123"/>
    <s v="BREWER POLICE DEPARTMENT"/>
    <s v="19-056801"/>
    <n v="44.797089980000003"/>
    <n v="-68.761200860000002"/>
    <n v="7"/>
    <s v="July"/>
    <s v="19050"/>
    <n v="4041942"/>
    <n v="4"/>
    <s v="4 - Eastern Region"/>
    <s v="2"/>
    <s v="Urban"/>
    <s v="ELEMENT"/>
    <n v="259500"/>
    <n v="0.02"/>
  </r>
  <r>
    <x v="0"/>
    <s v="2021-12451"/>
    <d v="2021-05-24T00:00:00"/>
    <s v="Brewer"/>
    <s v="Monday"/>
    <s v="07:05:00"/>
    <x v="7"/>
    <s v="None"/>
    <s v="Daylight"/>
    <s v="Intersection Movement"/>
    <s v="Four Leg Intersection"/>
    <s v="Dry"/>
    <s v="Clear"/>
    <s v="Yes"/>
    <s v="Ran Red Light"/>
    <m/>
    <s v="No Contributing Action"/>
    <m/>
    <n v="39690"/>
    <s v="0009B"/>
    <s v="ST RTE 9B"/>
    <n v="10.28"/>
    <n v="1"/>
    <n v="22335.5"/>
    <m/>
    <s v="N"/>
    <s v="N"/>
    <s v="N"/>
    <s v="N"/>
    <s v="No"/>
    <s v="No"/>
    <n v="2"/>
    <n v="2"/>
    <n v="0"/>
    <n v="0"/>
    <n v="0"/>
    <n v="0"/>
    <n v="0"/>
    <n v="2"/>
    <s v="PD"/>
    <s v="BACTS"/>
    <n v="7"/>
    <s v="Traffic Signals (Flashing)"/>
    <s v="Unknown"/>
    <n v="2"/>
    <s v="Penobscot"/>
    <s v="2021-12451"/>
    <s v="BREWER POLICE DEPARTMENT"/>
    <s v="21-036000"/>
    <n v="44.797049169999987"/>
    <n v="-68.761350610000008"/>
    <n v="5"/>
    <s v="May"/>
    <s v="19050"/>
    <n v="4041936"/>
    <n v="4"/>
    <s v="4 - Eastern Region"/>
    <s v="2"/>
    <s v="Urban"/>
    <s v="NODE"/>
    <n v="260240"/>
    <n v="0"/>
  </r>
  <r>
    <x v="0"/>
    <s v="2020-28733"/>
    <d v="2020-11-20T00:00:00"/>
    <s v="Brewer"/>
    <s v="Friday"/>
    <s v="08:44:00"/>
    <x v="5"/>
    <s v="None"/>
    <s v="Daylight"/>
    <s v="Rear End / Sideswipe"/>
    <s v="Four Leg Intersection"/>
    <s v="Dry"/>
    <s v="Cloudy"/>
    <s v="Yes"/>
    <s v="Followed Too Closely"/>
    <m/>
    <s v="No Contributing Action"/>
    <m/>
    <n v="39690"/>
    <s v="0009B"/>
    <s v="ST RTE 9B"/>
    <n v="10.28"/>
    <n v="1"/>
    <n v="22335.5"/>
    <m/>
    <s v="N"/>
    <s v="N"/>
    <s v="N"/>
    <s v="N"/>
    <s v="No"/>
    <s v="No"/>
    <n v="2"/>
    <n v="2"/>
    <n v="0"/>
    <n v="0"/>
    <n v="0"/>
    <n v="0"/>
    <n v="0"/>
    <n v="2"/>
    <s v="PD"/>
    <s v="BACTS"/>
    <n v="8"/>
    <s v="Traffic Signals (Stop &amp; Go)"/>
    <s v="Unknown"/>
    <n v="6"/>
    <s v="Penobscot"/>
    <s v="2020-28733"/>
    <s v="BREWER POLICE DEPARTMENT"/>
    <s v="20-089568"/>
    <n v="44.797049169999987"/>
    <n v="-68.761350610000008"/>
    <n v="11"/>
    <s v="November"/>
    <s v="19050"/>
    <n v="4041936"/>
    <n v="4"/>
    <s v="4 - Eastern Region"/>
    <s v="2"/>
    <s v="Urban"/>
    <s v="NODE"/>
    <n v="262101"/>
    <n v="0"/>
  </r>
  <r>
    <x v="0"/>
    <s v="2020-23302"/>
    <d v="2020-09-24T00:00:00"/>
    <s v="Brewer"/>
    <s v="Thursday"/>
    <s v="13:17:00"/>
    <x v="5"/>
    <s v="None"/>
    <s v="Daylight"/>
    <s v="Rear End / Sideswipe"/>
    <s v="Four Leg Intersection"/>
    <s v="Dry"/>
    <s v="Clear"/>
    <s v="Yes"/>
    <s v="Followed Too Closely"/>
    <m/>
    <s v="No Contributing Action"/>
    <m/>
    <n v="39690"/>
    <s v="0009B"/>
    <s v="ST RTE 9B"/>
    <n v="10.28"/>
    <n v="1"/>
    <n v="22335.5"/>
    <m/>
    <s v="N"/>
    <s v="N"/>
    <s v="N"/>
    <s v="N"/>
    <s v="No"/>
    <s v="No"/>
    <n v="2"/>
    <n v="3"/>
    <n v="0"/>
    <n v="0"/>
    <n v="0"/>
    <n v="0"/>
    <n v="0"/>
    <n v="3"/>
    <s v="PD"/>
    <s v="BACTS"/>
    <n v="13"/>
    <s v="Traffic Signals (Stop &amp; Go)"/>
    <s v="Unknown"/>
    <n v="5"/>
    <s v="Penobscot"/>
    <s v="2020-23302"/>
    <s v="BREWER POLICE DEPARTMENT"/>
    <s v="20-073952"/>
    <n v="44.797049169999987"/>
    <n v="-68.761350610000008"/>
    <n v="9"/>
    <s v="September"/>
    <s v="19050"/>
    <n v="4041936"/>
    <n v="4"/>
    <s v="4 - Eastern Region"/>
    <s v="2"/>
    <s v="Urban"/>
    <s v="NODE"/>
    <n v="265505"/>
    <n v="0"/>
  </r>
  <r>
    <x v="0"/>
    <s v="2020-10803"/>
    <d v="2020-04-17T00:00:00"/>
    <s v="Brewer"/>
    <s v="Friday"/>
    <s v="20:21:00"/>
    <x v="5"/>
    <s v="None"/>
    <s v="Daylight"/>
    <s v="Rear End / Sideswipe"/>
    <s v="Straight Road"/>
    <s v="Dry"/>
    <s v="Clear"/>
    <m/>
    <s v="Failed to Keep in Proper Lane"/>
    <s v="Failed to Keep in Proper Lane"/>
    <s v="No Contributing Action"/>
    <m/>
    <m/>
    <s v="0009B"/>
    <s v="ST RTE 9B"/>
    <n v="10.34"/>
    <n v="2"/>
    <n v="12872"/>
    <n v="25"/>
    <s v="N"/>
    <s v="N"/>
    <s v="N"/>
    <s v="N"/>
    <s v="No"/>
    <s v="No"/>
    <n v="2"/>
    <n v="6"/>
    <n v="1"/>
    <n v="0"/>
    <n v="0"/>
    <n v="0"/>
    <n v="1"/>
    <n v="5"/>
    <s v="C"/>
    <s v="BACTS"/>
    <n v="20"/>
    <s v="None"/>
    <s v="Posted"/>
    <n v="6"/>
    <s v="Penobscot"/>
    <s v="2020-10803"/>
    <s v="BREWER POLICE DEPARTMENT"/>
    <s v="20-028912"/>
    <n v="44.797635769999999"/>
    <n v="-68.760260419999994"/>
    <n v="4"/>
    <s v="April"/>
    <s v="19050"/>
    <n v="4041934"/>
    <n v="4"/>
    <s v="4 - Eastern Region"/>
    <s v="2"/>
    <s v="Urban"/>
    <s v="ELEMENT"/>
    <n v="268765"/>
    <n v="0.01"/>
  </r>
  <r>
    <x v="0"/>
    <s v="2020-12178"/>
    <d v="2020-05-15T00:00:00"/>
    <s v="Brewer"/>
    <s v="Friday"/>
    <s v="13:20:00"/>
    <x v="5"/>
    <s v="None"/>
    <s v="Daylight"/>
    <s v="Intersection Movement"/>
    <s v="Four Leg Intersection"/>
    <s v="Dry"/>
    <s v="Cloudy"/>
    <s v="Yes"/>
    <s v="No Contributing Action"/>
    <m/>
    <s v="No Contributing Action"/>
    <m/>
    <n v="39690"/>
    <s v="0009B"/>
    <s v="ST RTE 9B"/>
    <n v="10.28"/>
    <n v="1"/>
    <n v="22335.5"/>
    <m/>
    <s v="N"/>
    <s v="N"/>
    <s v="N"/>
    <s v="N"/>
    <s v="No"/>
    <s v="No"/>
    <n v="2"/>
    <n v="5"/>
    <n v="0"/>
    <n v="0"/>
    <n v="0"/>
    <n v="0"/>
    <n v="0"/>
    <n v="5"/>
    <s v="PD"/>
    <s v="BACTS"/>
    <n v="13"/>
    <s v="Traffic Signals (Stop &amp; Go)"/>
    <s v="Unknown"/>
    <n v="6"/>
    <s v="Penobscot"/>
    <s v="2020-12178"/>
    <s v="BREWER POLICE DEPARTMENT"/>
    <s v="20-035527"/>
    <n v="44.797049169999987"/>
    <n v="-68.761350610000008"/>
    <n v="5"/>
    <s v="May"/>
    <s v="19050"/>
    <n v="4041936"/>
    <n v="4"/>
    <s v="4 - Eastern Region"/>
    <s v="2"/>
    <s v="Urban"/>
    <s v="NODE"/>
    <n v="269187"/>
    <n v="0"/>
  </r>
  <r>
    <x v="0"/>
    <s v="2019-65449"/>
    <d v="2019-09-22T00:00:00"/>
    <s v="Brewer"/>
    <s v="Sunday"/>
    <s v="20:40:00"/>
    <x v="6"/>
    <s v="None"/>
    <s v="Dark - Lighted"/>
    <s v="Intersection Movement"/>
    <s v="Four Leg Intersection"/>
    <s v="Dry"/>
    <s v="Clear"/>
    <s v="Yes"/>
    <s v="Ran Red Light"/>
    <s v="Failed to Yield Right-of-Way"/>
    <s v="No Contributing Action"/>
    <m/>
    <n v="39690"/>
    <s v="0009B"/>
    <s v="ST RTE 9B"/>
    <n v="10.28"/>
    <n v="1"/>
    <n v="22335.5"/>
    <m/>
    <s v="N"/>
    <s v="N"/>
    <s v="N"/>
    <s v="N"/>
    <s v="No"/>
    <s v="No"/>
    <n v="2"/>
    <n v="3"/>
    <n v="0"/>
    <n v="0"/>
    <n v="0"/>
    <n v="0"/>
    <n v="0"/>
    <n v="3"/>
    <s v="PD"/>
    <s v="BACTS"/>
    <n v="20"/>
    <s v="Traffic Signals (Stop &amp; Go)"/>
    <s v="Unknown"/>
    <n v="1"/>
    <s v="Penobscot"/>
    <s v="2019-65449"/>
    <s v="BREWER POLICE DEPARTMENT"/>
    <s v="19-077753"/>
    <n v="44.797049169999987"/>
    <n v="-68.761350610000008"/>
    <n v="9"/>
    <s v="September"/>
    <s v="19050"/>
    <n v="4041936"/>
    <n v="4"/>
    <s v="4 - Eastern Region"/>
    <s v="2"/>
    <s v="Urban"/>
    <s v="NODE"/>
    <n v="278114"/>
    <n v="0"/>
  </r>
  <r>
    <x v="0"/>
    <s v="2025-25630"/>
    <d v="2025-09-08T00:00:00"/>
    <s v="Brewer"/>
    <s v="Monday   "/>
    <s v="10:28:00"/>
    <x v="8"/>
    <s v="None"/>
    <s v="Daylight"/>
    <s v="Intersection Movement"/>
    <s v="Four Leg Intersection"/>
    <s v="Dry"/>
    <s v="Clear"/>
    <s v="Yes"/>
    <s v="Ran Red Light"/>
    <m/>
    <s v="No Contributing Action"/>
    <m/>
    <n v="39690"/>
    <s v="0009B"/>
    <s v="ST RTE 9B"/>
    <n v="10.28"/>
    <n v="1"/>
    <n v="22335.5"/>
    <m/>
    <s v="N"/>
    <s v="N"/>
    <m/>
    <s v="N"/>
    <s v="No"/>
    <s v="No"/>
    <n v="2"/>
    <n v="2"/>
    <n v="0"/>
    <n v="0"/>
    <n v="0"/>
    <n v="0"/>
    <n v="0"/>
    <n v="2"/>
    <s v="PD"/>
    <s v="BACTS"/>
    <n v="10"/>
    <s v="Traffic Signals (Stop &amp; Go)"/>
    <s v="Unknown"/>
    <n v="2"/>
    <s v="Penobscot"/>
    <s v="2025-25630"/>
    <s v="BREWER POLICE DEPARTMENT"/>
    <s v="25-065590"/>
    <n v="44.797049169999987"/>
    <n v="-68.761350610000008"/>
    <n v="9"/>
    <s v="September"/>
    <s v="19050"/>
    <n v="4041936"/>
    <n v="4"/>
    <s v="4 - Eastern Region"/>
    <s v="2"/>
    <s v="Urban"/>
    <s v="NODE"/>
    <n v="279592"/>
    <n v="0"/>
  </r>
  <r>
    <x v="0"/>
    <s v="2020-32182"/>
    <d v="2020-12-16T00:00:00"/>
    <s v="Brewer"/>
    <s v="Wednesday"/>
    <s v="08:14:00"/>
    <x v="5"/>
    <s v="None"/>
    <s v="Daylight"/>
    <s v="Intersection Movement"/>
    <s v="Four Leg Intersection"/>
    <s v="Dry"/>
    <s v="Clear"/>
    <s v="Yes"/>
    <s v="Unknown"/>
    <m/>
    <s v="No Contributing Action"/>
    <m/>
    <n v="39690"/>
    <s v="0009B"/>
    <s v="ST RTE 9B"/>
    <n v="10.28"/>
    <n v="1"/>
    <n v="22335.5"/>
    <m/>
    <s v="N"/>
    <s v="N"/>
    <s v="N"/>
    <s v="N"/>
    <s v="No"/>
    <s v="No"/>
    <n v="2"/>
    <n v="2"/>
    <n v="0"/>
    <n v="0"/>
    <n v="0"/>
    <n v="0"/>
    <n v="0"/>
    <n v="2"/>
    <s v="PD"/>
    <s v="BACTS"/>
    <n v="8"/>
    <s v="Traffic Signals (Stop &amp; Go)"/>
    <s v="Unknown"/>
    <n v="4"/>
    <s v="Penobscot"/>
    <s v="2020-32182"/>
    <s v="BREWER POLICE DEPARTMENT"/>
    <s v="20-095963"/>
    <n v="44.797049169999987"/>
    <n v="-68.761350610000008"/>
    <n v="12"/>
    <s v="December"/>
    <s v="19050"/>
    <n v="4041936"/>
    <n v="4"/>
    <s v="4 - Eastern Region"/>
    <s v="2"/>
    <s v="Urban"/>
    <s v="NODE"/>
    <n v="283727"/>
    <n v="0"/>
  </r>
  <r>
    <x v="0"/>
    <s v="2024-31935"/>
    <d v="2024-11-07T00:00:00"/>
    <s v="Brewer"/>
    <s v="Thursday "/>
    <s v="22:54:00"/>
    <x v="4"/>
    <s v="None"/>
    <s v="Dark - Lighted"/>
    <s v="Rear End / Sideswipe"/>
    <s v="Four Leg Intersection"/>
    <s v="Dry"/>
    <s v="Clear"/>
    <s v="Yes"/>
    <s v="Followed Too Closely"/>
    <s v="Improper Turn"/>
    <s v="No Contributing Action"/>
    <m/>
    <n v="39690"/>
    <s v="0009B"/>
    <s v="ST RTE 9B"/>
    <n v="10.28"/>
    <n v="1"/>
    <n v="22335.5"/>
    <m/>
    <s v="N"/>
    <s v="N"/>
    <m/>
    <s v="N"/>
    <s v="No"/>
    <s v="Yes"/>
    <n v="2"/>
    <n v="2"/>
    <n v="0"/>
    <n v="0"/>
    <n v="0"/>
    <n v="0"/>
    <n v="0"/>
    <n v="2"/>
    <s v="PD"/>
    <s v="BACTS"/>
    <n v="22"/>
    <s v="Traffic Signals (Stop &amp; Go)"/>
    <s v="Unknown"/>
    <n v="5"/>
    <s v="Penobscot"/>
    <s v="2024-31935"/>
    <s v="BREWER POLICE DEPARTMENT"/>
    <s v="24-084644"/>
    <n v="44.797049169999987"/>
    <n v="-68.761350610000008"/>
    <n v="11"/>
    <s v="November"/>
    <s v="19050"/>
    <n v="4041936"/>
    <n v="4"/>
    <s v="4 - Eastern Region"/>
    <s v="2"/>
    <s v="Urban"/>
    <s v="NODE"/>
    <n v="285781"/>
    <n v="0"/>
  </r>
  <r>
    <x v="0"/>
    <s v="2021-10845"/>
    <d v="2021-05-01T00:00:00"/>
    <s v="Brewer"/>
    <s v="Saturday"/>
    <s v="09:50:00"/>
    <x v="7"/>
    <s v="None"/>
    <s v="Daylight"/>
    <s v="Went Off Road"/>
    <s v="Parking Lot"/>
    <s v="Dry"/>
    <s v="Cloudy"/>
    <m/>
    <m/>
    <m/>
    <m/>
    <m/>
    <m/>
    <s v="0009B"/>
    <s v="ST RTE 9B"/>
    <n v="10.33"/>
    <n v="2"/>
    <n v="12872"/>
    <n v="25"/>
    <s v="N"/>
    <s v="N"/>
    <s v="N"/>
    <s v="N"/>
    <s v="No"/>
    <s v="No"/>
    <n v="2"/>
    <n v="2"/>
    <n v="0"/>
    <n v="0"/>
    <n v="0"/>
    <n v="0"/>
    <n v="0"/>
    <n v="0"/>
    <s v="PD"/>
    <s v="BACTS"/>
    <n v="9"/>
    <s v="None"/>
    <s v="Posted"/>
    <n v="7"/>
    <s v="Penobscot"/>
    <s v="2021-10845"/>
    <s v="BREWER POLICE DEPARTMENT"/>
    <s v="21-029790"/>
    <n v="44.797464140000002"/>
    <n v="-68.760581559999991"/>
    <n v="5"/>
    <s v="May"/>
    <s v="19050"/>
    <n v="4041934"/>
    <n v="4"/>
    <s v="4 - Eastern Region"/>
    <s v="2"/>
    <s v="Urban"/>
    <s v="ELEMENT"/>
    <n v="285892"/>
    <n v="0.02"/>
  </r>
  <r>
    <x v="0"/>
    <s v="2025-27833"/>
    <d v="2025-09-25T00:00:00"/>
    <s v="Brewer"/>
    <s v="Thursday "/>
    <s v="07:27:00"/>
    <x v="8"/>
    <s v="None"/>
    <s v="Daylight"/>
    <s v="Intersection Movement"/>
    <s v="Three Leg Intersection"/>
    <s v="Dry"/>
    <s v="Clear"/>
    <s v="Yes"/>
    <s v="Unknown"/>
    <m/>
    <s v="No Contributing Action"/>
    <m/>
    <n v="39690"/>
    <s v="0009B"/>
    <s v="ST RTE 9B"/>
    <n v="10.28"/>
    <n v="1"/>
    <n v="22335.5"/>
    <m/>
    <s v="N"/>
    <s v="N"/>
    <m/>
    <s v="N"/>
    <s v="No"/>
    <s v="No"/>
    <n v="2"/>
    <n v="4"/>
    <n v="0"/>
    <n v="0"/>
    <n v="0"/>
    <n v="0"/>
    <n v="0"/>
    <n v="4"/>
    <s v="PD"/>
    <s v="BACTS"/>
    <n v="7"/>
    <s v="Yield Sign"/>
    <s v="Unknown"/>
    <n v="5"/>
    <s v="Penobscot"/>
    <s v="2025-27833"/>
    <s v="BREWER POLICE DEPARTMENT"/>
    <s v="25-069893"/>
    <n v="44.797342489999998"/>
    <n v="-68.761545810000001"/>
    <n v="9"/>
    <s v="September"/>
    <s v="19050"/>
    <n v="4041936"/>
    <n v="4"/>
    <s v="4 - Eastern Region"/>
    <s v="2"/>
    <s v="Urban"/>
    <s v="NODE"/>
    <n v="290838"/>
    <n v="0"/>
  </r>
  <r>
    <x v="0"/>
    <s v="2024-17972"/>
    <d v="2024-07-03T00:00:00"/>
    <s v="Brewer"/>
    <s v="Wednesday"/>
    <s v="16:46:00"/>
    <x v="4"/>
    <s v="None"/>
    <s v="Daylight"/>
    <s v="Intersection Movement"/>
    <s v="Four Leg Intersection"/>
    <s v="Dry"/>
    <s v="Clear"/>
    <s v="Yes"/>
    <s v="Disregarded Other Traffic Sign"/>
    <m/>
    <s v="No Contributing Action"/>
    <m/>
    <n v="39690"/>
    <s v="0009B"/>
    <s v="ST RTE 9B"/>
    <n v="10.28"/>
    <n v="1"/>
    <n v="22335.5"/>
    <m/>
    <s v="N"/>
    <s v="N"/>
    <m/>
    <s v="N"/>
    <s v="No"/>
    <s v="No"/>
    <n v="2"/>
    <n v="4"/>
    <n v="0"/>
    <n v="0"/>
    <n v="0"/>
    <n v="0"/>
    <n v="0"/>
    <n v="4"/>
    <s v="PD"/>
    <s v="BACTS"/>
    <n v="16"/>
    <s v="Traffic Signals (Stop &amp; Go)"/>
    <s v="Unknown"/>
    <n v="4"/>
    <s v="Penobscot"/>
    <s v="2024-17972"/>
    <s v="BREWER POLICE DEPARTMENT"/>
    <s v="24-048663"/>
    <n v="44.797049169999987"/>
    <n v="-68.761350610000008"/>
    <n v="7"/>
    <s v="July"/>
    <s v="19050"/>
    <n v="4041936"/>
    <n v="4"/>
    <s v="4 - Eastern Region"/>
    <s v="2"/>
    <s v="Urban"/>
    <s v="NODE"/>
    <n v="293959"/>
    <n v="0"/>
  </r>
  <r>
    <x v="0"/>
    <s v="2024-17973"/>
    <d v="2024-07-03T00:00:00"/>
    <s v="Brewer"/>
    <s v="Wednesday"/>
    <s v="13:47:00"/>
    <x v="4"/>
    <s v="None"/>
    <s v="Daylight"/>
    <s v="Rear End / Sideswipe"/>
    <s v="Straight Road"/>
    <s v="Dry"/>
    <s v="Clear"/>
    <s v="Yes"/>
    <s v="Followed Too Closely"/>
    <s v="Failed to Keep in Proper Lane"/>
    <s v="No Contributing Action"/>
    <m/>
    <m/>
    <s v="0009B"/>
    <s v="ST RTE 9B"/>
    <n v="10.32"/>
    <n v="2"/>
    <n v="12872"/>
    <n v="25"/>
    <s v="N"/>
    <s v="N"/>
    <m/>
    <s v="N"/>
    <s v="No"/>
    <s v="No"/>
    <n v="3"/>
    <n v="6"/>
    <n v="0"/>
    <n v="0"/>
    <n v="0"/>
    <n v="0"/>
    <n v="0"/>
    <n v="6"/>
    <s v="PD"/>
    <s v="BACTS"/>
    <n v="13"/>
    <s v="Traffic Signals (Stop &amp; Go)"/>
    <s v="Posted"/>
    <n v="4"/>
    <s v="Penobscot"/>
    <s v="2024-17973"/>
    <s v="BREWER POLICE DEPARTMENT"/>
    <s v="24-048614"/>
    <n v="44.797439160000003"/>
    <n v="-68.76062829"/>
    <n v="7"/>
    <s v="July"/>
    <s v="19050"/>
    <n v="4041934"/>
    <n v="4"/>
    <s v="4 - Eastern Region"/>
    <s v="2"/>
    <s v="Urban"/>
    <s v="ELEMENT"/>
    <n v="295297"/>
    <n v="0.03"/>
  </r>
  <r>
    <x v="0"/>
    <s v="2019-60712"/>
    <d v="2019-08-06T00:00:00"/>
    <s v="Brewer"/>
    <s v="Tuesday"/>
    <s v="14:00:00"/>
    <x v="6"/>
    <s v="None"/>
    <s v="Daylight"/>
    <s v="Rear End / Sideswipe"/>
    <s v="Straight Road"/>
    <s v="Dry"/>
    <s v="Clear"/>
    <m/>
    <s v="Followed Too Closely"/>
    <s v="No Contributing Action"/>
    <s v="No Contributing Action"/>
    <m/>
    <m/>
    <s v="0009B"/>
    <s v="ST RTE 9B"/>
    <n v="10.33"/>
    <n v="2"/>
    <n v="12872"/>
    <n v="25"/>
    <s v="N"/>
    <s v="N"/>
    <s v="N"/>
    <s v="N"/>
    <s v="No"/>
    <s v="No"/>
    <n v="2"/>
    <n v="2"/>
    <n v="0"/>
    <n v="0"/>
    <n v="0"/>
    <n v="0"/>
    <n v="0"/>
    <n v="2"/>
    <s v="PD"/>
    <s v="BACTS"/>
    <n v="14"/>
    <s v="None"/>
    <s v="Posted"/>
    <n v="3"/>
    <s v="Penobscot"/>
    <s v="2019-60712"/>
    <s v="BREWER POLICE DEPARTMENT"/>
    <s v="19-062946"/>
    <n v="44.797499999999999"/>
    <n v="-68.760509999999996"/>
    <n v="8"/>
    <s v="August"/>
    <s v="19050"/>
    <n v="4041934"/>
    <n v="4"/>
    <s v="4 - Eastern Region"/>
    <s v="2"/>
    <s v="Urban"/>
    <s v="ELEMENT"/>
    <n v="300449"/>
    <n v="0.02"/>
  </r>
  <r>
    <x v="0"/>
    <s v="2021-16838"/>
    <d v="2021-07-01T00:00:00"/>
    <s v="Brewer"/>
    <s v="Thursday"/>
    <s v="17:23:00"/>
    <x v="7"/>
    <s v="None"/>
    <s v="Daylight"/>
    <s v="Rear End / Sideswipe"/>
    <s v="Four Leg Intersection"/>
    <s v="Dry"/>
    <s v="Clear"/>
    <s v="Yes"/>
    <s v="Drove Too Fast For Conditions"/>
    <s v="Improper Passing"/>
    <s v="No Contributing Action"/>
    <m/>
    <n v="39690"/>
    <s v="0009B"/>
    <s v="ST RTE 9B"/>
    <n v="10.28"/>
    <n v="1"/>
    <n v="22335.5"/>
    <m/>
    <s v="N"/>
    <s v="N"/>
    <s v="N"/>
    <s v="N"/>
    <s v="No"/>
    <s v="No"/>
    <n v="2"/>
    <n v="2"/>
    <n v="0"/>
    <n v="0"/>
    <n v="0"/>
    <n v="0"/>
    <n v="0"/>
    <n v="2"/>
    <s v="PD"/>
    <s v="BACTS"/>
    <n v="17"/>
    <s v="Traffic Signals (Stop &amp; Go)"/>
    <s v="Unknown"/>
    <n v="5"/>
    <s v="Penobscot"/>
    <s v="2021-16838"/>
    <s v="BREWER POLICE DEPARTMENT"/>
    <s v="21-047455"/>
    <n v="44.797049169999987"/>
    <n v="-68.761350610000008"/>
    <n v="7"/>
    <s v="July"/>
    <s v="19050"/>
    <n v="4041936"/>
    <n v="4"/>
    <s v="4 - Eastern Region"/>
    <s v="2"/>
    <s v="Urban"/>
    <s v="NODE"/>
    <n v="301162"/>
    <n v="0"/>
  </r>
  <r>
    <x v="0"/>
    <s v="2021-18928"/>
    <d v="2021-07-15T00:00:00"/>
    <s v="Brewer"/>
    <s v="Thursday"/>
    <s v="12:23:00"/>
    <x v="7"/>
    <s v="None"/>
    <s v="Daylight"/>
    <s v="Rear End / Sideswipe"/>
    <s v="Four Leg Intersection"/>
    <s v="Dry"/>
    <s v="Clear"/>
    <s v="Yes"/>
    <s v="No Contributing Action"/>
    <m/>
    <s v="No Contributing Action"/>
    <m/>
    <n v="39690"/>
    <s v="0009B"/>
    <s v="ST RTE 9B"/>
    <n v="10.28"/>
    <n v="1"/>
    <n v="22335.5"/>
    <m/>
    <s v="N"/>
    <s v="N"/>
    <s v="N"/>
    <s v="N"/>
    <s v="No"/>
    <s v="No"/>
    <n v="2"/>
    <n v="2"/>
    <n v="1"/>
    <n v="0"/>
    <n v="0"/>
    <n v="0"/>
    <n v="1"/>
    <n v="1"/>
    <s v="C"/>
    <s v="BACTS"/>
    <n v="12"/>
    <s v="Traffic Signals (Stop &amp; Go)"/>
    <s v="Unknown"/>
    <n v="5"/>
    <s v="Penobscot"/>
    <s v="2021-18928"/>
    <s v="BREWER POLICE DEPARTMENT"/>
    <s v="21-051434"/>
    <n v="44.797049169999987"/>
    <n v="-68.761350610000008"/>
    <n v="7"/>
    <s v="July"/>
    <s v="19050"/>
    <n v="4041936"/>
    <n v="4"/>
    <s v="4 - Eastern Region"/>
    <s v="2"/>
    <s v="Urban"/>
    <s v="NODE"/>
    <n v="304658"/>
    <n v="0"/>
  </r>
  <r>
    <x v="0"/>
    <s v="2019-54550"/>
    <d v="2019-06-04T00:00:00"/>
    <s v="Brewer"/>
    <s v="Tuesday"/>
    <s v="08:00:00"/>
    <x v="6"/>
    <s v="None"/>
    <s v="Daylight"/>
    <s v="Intersection Movement"/>
    <s v="Four Leg Intersection"/>
    <s v="Dry"/>
    <s v="Clear"/>
    <s v="Yes"/>
    <s v="No Contributing Action"/>
    <m/>
    <s v="No Contributing Action"/>
    <m/>
    <n v="39690"/>
    <s v="0009B"/>
    <s v="ST RTE 9B"/>
    <n v="10.28"/>
    <n v="1"/>
    <n v="22335.5"/>
    <m/>
    <s v="N"/>
    <s v="N"/>
    <s v="N"/>
    <s v="N"/>
    <s v="No"/>
    <s v="No"/>
    <n v="2"/>
    <n v="2"/>
    <n v="0"/>
    <n v="0"/>
    <n v="0"/>
    <n v="0"/>
    <n v="0"/>
    <n v="2"/>
    <s v="PD"/>
    <s v="BACTS"/>
    <n v="8"/>
    <s v="Traffic Signals (Stop &amp; Go)"/>
    <s v="Unknown"/>
    <n v="3"/>
    <s v="Penobscot"/>
    <s v="2019-54550"/>
    <s v="BREWER POLICE DEPARTMENT"/>
    <s v="19-042210"/>
    <n v="44.797049169999987"/>
    <n v="-68.761350610000008"/>
    <n v="6"/>
    <s v="June"/>
    <s v="19050"/>
    <n v="4041936"/>
    <n v="4"/>
    <s v="4 - Eastern Region"/>
    <s v="2"/>
    <s v="Urban"/>
    <s v="NODE"/>
    <n v="305720"/>
    <n v="0"/>
  </r>
  <r>
    <x v="0"/>
    <s v="2024-16621"/>
    <d v="2024-06-14T00:00:00"/>
    <s v="Brewer"/>
    <s v="Friday   "/>
    <s v="09:50:00"/>
    <x v="4"/>
    <s v="None"/>
    <s v="Daylight"/>
    <s v="Rear End / Sideswipe"/>
    <s v="Three Leg Intersection"/>
    <s v="Dry"/>
    <s v="Cloudy"/>
    <s v="Yes"/>
    <s v="No Contributing Action"/>
    <m/>
    <s v="No Contributing Action"/>
    <m/>
    <n v="39690"/>
    <s v="0009B"/>
    <s v="ST RTE 9B"/>
    <n v="10.28"/>
    <n v="1"/>
    <n v="22335.5"/>
    <m/>
    <s v="N"/>
    <s v="N"/>
    <m/>
    <s v="N"/>
    <s v="No"/>
    <s v="No"/>
    <n v="2"/>
    <n v="4"/>
    <n v="2"/>
    <n v="0"/>
    <n v="0"/>
    <n v="0"/>
    <n v="2"/>
    <n v="2"/>
    <s v="C"/>
    <s v="BACTS"/>
    <n v="9"/>
    <s v="Yield Sign"/>
    <s v="Unknown"/>
    <n v="6"/>
    <s v="Penobscot"/>
    <s v="2024-16621"/>
    <s v="BREWER POLICE DEPARTMENT"/>
    <s v="24-043053"/>
    <n v="44.797342489999998"/>
    <n v="-68.761545810000001"/>
    <n v="6"/>
    <s v="June"/>
    <s v="19050"/>
    <n v="4041936"/>
    <n v="4"/>
    <s v="4 - Eastern Region"/>
    <s v="2"/>
    <s v="Urban"/>
    <s v="NODE"/>
    <n v="308208"/>
    <n v="0"/>
  </r>
  <r>
    <x v="0"/>
    <s v="2019-43546"/>
    <d v="2019-02-23T00:00:00"/>
    <s v="Brewer"/>
    <s v="Saturday"/>
    <s v="22:18:00"/>
    <x v="6"/>
    <s v="None"/>
    <s v="Dark - Lighted"/>
    <s v="Intersection Movement"/>
    <s v="Four Leg Intersection"/>
    <s v="Dry"/>
    <s v="Clear"/>
    <s v="Yes"/>
    <s v="Ran Red Light"/>
    <m/>
    <s v="No Contributing Action"/>
    <m/>
    <n v="39690"/>
    <s v="0009B"/>
    <s v="ST RTE 9B"/>
    <n v="10.28"/>
    <n v="1"/>
    <n v="22335.5"/>
    <m/>
    <s v="N"/>
    <s v="N"/>
    <s v="N"/>
    <s v="N"/>
    <s v="No"/>
    <s v="No"/>
    <n v="2"/>
    <n v="2"/>
    <n v="0"/>
    <n v="0"/>
    <n v="0"/>
    <n v="0"/>
    <n v="0"/>
    <n v="2"/>
    <s v="PD"/>
    <s v="BACTS"/>
    <n v="22"/>
    <s v="Traffic Signals (Stop &amp; Go)"/>
    <s v="Unknown"/>
    <n v="7"/>
    <s v="Penobscot"/>
    <s v="2019-43546"/>
    <s v="BREWER POLICE DEPARTMENT"/>
    <s v="19-014071"/>
    <n v="44.797049169999987"/>
    <n v="-68.761350610000008"/>
    <n v="2"/>
    <s v="February"/>
    <s v="19050"/>
    <n v="4041936"/>
    <n v="4"/>
    <s v="4 - Eastern Region"/>
    <s v="2"/>
    <s v="Urban"/>
    <s v="NODE"/>
    <n v="310572"/>
    <n v="0"/>
  </r>
  <r>
    <x v="0"/>
    <s v="2023-16203"/>
    <d v="2023-06-09T00:00:00"/>
    <s v="Brewer"/>
    <s v="Friday"/>
    <s v="14:31:00"/>
    <x v="0"/>
    <s v="None"/>
    <s v="Daylight"/>
    <s v="Intersection Movement"/>
    <s v="Driveways"/>
    <s v="Dry"/>
    <s v="Cloudy"/>
    <s v="Yes"/>
    <s v="Failed to Yield Right-of-Way"/>
    <m/>
    <s v="Other Contributing Action"/>
    <m/>
    <m/>
    <s v="0009B"/>
    <s v="ST RTE 9B"/>
    <n v="10.34"/>
    <n v="2"/>
    <n v="12872"/>
    <n v="25"/>
    <s v="N"/>
    <s v="N"/>
    <m/>
    <s v="N"/>
    <s v="No"/>
    <s v="No"/>
    <n v="2"/>
    <n v="2"/>
    <n v="1"/>
    <n v="0"/>
    <n v="0"/>
    <n v="0"/>
    <n v="1"/>
    <n v="1"/>
    <s v="C"/>
    <s v="BACTS"/>
    <n v="14"/>
    <s v="Stop Signs - Other"/>
    <s v="Posted"/>
    <n v="6"/>
    <s v="Penobscot"/>
    <s v="2023-16203"/>
    <s v="BREWER POLICE DEPARTMENT"/>
    <s v="23-043294"/>
    <n v="44.797621990000003"/>
    <n v="-68.760286219999998"/>
    <n v="6"/>
    <s v="June"/>
    <s v="19050"/>
    <n v="4041934"/>
    <n v="4"/>
    <s v="4 - Eastern Region"/>
    <s v="2"/>
    <s v="Urban"/>
    <s v="ELEMENT"/>
    <n v="310704"/>
    <n v="0.01"/>
  </r>
  <r>
    <x v="0"/>
    <s v="2022-8046"/>
    <d v="2022-03-05T00:00:00"/>
    <s v="Brewer"/>
    <s v="Saturday"/>
    <s v="16:30:00"/>
    <x v="3"/>
    <s v="None"/>
    <s v="Daylight"/>
    <s v="Rear End / Sideswipe"/>
    <s v="Four Leg Intersection"/>
    <s v="Dry"/>
    <s v="Clear"/>
    <s v="Yes"/>
    <s v="Followed Too Closely"/>
    <m/>
    <s v="No Contributing Action"/>
    <m/>
    <n v="39690"/>
    <s v="0009B"/>
    <s v="ST RTE 9B"/>
    <n v="10.28"/>
    <n v="1"/>
    <n v="22335.5"/>
    <m/>
    <s v="N"/>
    <s v="N"/>
    <s v="N"/>
    <s v="N"/>
    <s v="No"/>
    <s v="No"/>
    <n v="2"/>
    <n v="2"/>
    <n v="0"/>
    <n v="0"/>
    <n v="0"/>
    <n v="0"/>
    <n v="0"/>
    <n v="2"/>
    <s v="PD"/>
    <s v="BACTS"/>
    <n v="16"/>
    <s v="Traffic Signals (Stop &amp; Go)"/>
    <s v="Unknown"/>
    <n v="7"/>
    <s v="Penobscot"/>
    <s v="2022-08046"/>
    <s v="BREWER POLICE DEPARTMENT"/>
    <s v="22-016691"/>
    <n v="44.797049169999987"/>
    <n v="-68.761350610000008"/>
    <n v="3"/>
    <s v="March"/>
    <s v="19050"/>
    <n v="4041936"/>
    <n v="4"/>
    <s v="4 - Eastern Region"/>
    <s v="2"/>
    <s v="Urban"/>
    <s v="NODE"/>
    <n v="311544"/>
    <n v="0"/>
  </r>
  <r>
    <x v="0"/>
    <s v="2018-28719"/>
    <d v="2018-10-04T00:00:00"/>
    <s v="Brewer"/>
    <s v="Thursday"/>
    <s v="20:36:00"/>
    <x v="2"/>
    <s v="None"/>
    <s v="Dark - Lighted"/>
    <s v="Rear End / Sideswipe"/>
    <s v="Four Leg Intersection"/>
    <s v="Dry"/>
    <s v="Clear"/>
    <s v="Yes"/>
    <s v="No Contributing Action"/>
    <m/>
    <s v="Followed Too Closely"/>
    <m/>
    <n v="39690"/>
    <s v="0009B"/>
    <s v="ST RTE 9B"/>
    <n v="10.28"/>
    <n v="1"/>
    <n v="22335.5"/>
    <m/>
    <s v="N"/>
    <s v="N"/>
    <s v="N"/>
    <s v="N"/>
    <s v="No"/>
    <s v="No"/>
    <n v="2"/>
    <n v="2"/>
    <n v="0"/>
    <n v="0"/>
    <n v="0"/>
    <n v="0"/>
    <n v="0"/>
    <n v="2"/>
    <s v="PD"/>
    <s v="BACTS"/>
    <n v="20"/>
    <s v="Traffic Signals (Stop &amp; Go)"/>
    <s v="Unknown"/>
    <n v="5"/>
    <s v="Penobscot"/>
    <s v="2018-28719"/>
    <s v="BREWER POLICE DEPARTMENT"/>
    <s v="18-080525"/>
    <n v="44.797049169999987"/>
    <n v="-68.761350610000008"/>
    <n v="10"/>
    <s v="October"/>
    <s v="19050"/>
    <n v="4041936"/>
    <n v="4"/>
    <s v="4 - Eastern Region"/>
    <s v="2"/>
    <s v="Urban"/>
    <s v="NODE"/>
    <n v="312417"/>
    <n v="0"/>
  </r>
  <r>
    <x v="0"/>
    <s v="2022-6357"/>
    <d v="2022-02-25T00:00:00"/>
    <s v="Brewer"/>
    <s v="Friday"/>
    <s v="16:30:00"/>
    <x v="3"/>
    <s v="Road Surface Condition (Wet, Icy, Snow, Slush, etc.)"/>
    <s v="Daylight"/>
    <s v="Rear End / Sideswipe"/>
    <s v="Four Leg Intersection"/>
    <s v="Snow"/>
    <s v="Snow"/>
    <s v="Yes"/>
    <s v="No Contributing Action"/>
    <m/>
    <s v="No Contributing Action"/>
    <m/>
    <n v="39690"/>
    <s v="0009B"/>
    <s v="ST RTE 9B"/>
    <n v="10.28"/>
    <n v="1"/>
    <n v="22335.5"/>
    <m/>
    <s v="N"/>
    <s v="N"/>
    <s v="N"/>
    <s v="N"/>
    <s v="No"/>
    <s v="No"/>
    <n v="2"/>
    <n v="2"/>
    <n v="0"/>
    <n v="0"/>
    <n v="0"/>
    <n v="0"/>
    <n v="0"/>
    <n v="2"/>
    <s v="PD"/>
    <s v="BACTS"/>
    <n v="16"/>
    <s v="Traffic Signals (Stop &amp; Go)"/>
    <s v="Unknown"/>
    <n v="6"/>
    <s v="Penobscot"/>
    <s v="2022-06357"/>
    <s v="BREWER POLICE DEPARTMENT"/>
    <s v="22-014322"/>
    <n v="44.797049169999987"/>
    <n v="-68.761350610000008"/>
    <n v="2"/>
    <s v="February"/>
    <s v="19050"/>
    <n v="4041936"/>
    <n v="4"/>
    <s v="4 - Eastern Region"/>
    <s v="2"/>
    <s v="Urban"/>
    <s v="NODE"/>
    <n v="313926"/>
    <n v="0"/>
  </r>
  <r>
    <x v="0"/>
    <s v="2019-52829"/>
    <d v="2019-05-28T00:00:00"/>
    <s v="Brewer"/>
    <s v="Tuesday"/>
    <s v="06:50:00"/>
    <x v="6"/>
    <s v="None"/>
    <s v="Daylight"/>
    <s v="Intersection Movement"/>
    <s v="Four Leg Intersection"/>
    <s v="Dry"/>
    <s v="Clear"/>
    <s v="Yes"/>
    <s v="No Contributing Action"/>
    <m/>
    <s v="No Contributing Action"/>
    <m/>
    <n v="39690"/>
    <s v="0009B"/>
    <s v="ST RTE 9B"/>
    <n v="10.28"/>
    <n v="1"/>
    <n v="22335.5"/>
    <m/>
    <s v="N"/>
    <s v="N"/>
    <s v="N"/>
    <s v="N"/>
    <s v="No"/>
    <s v="No"/>
    <n v="2"/>
    <n v="2"/>
    <n v="0"/>
    <n v="0"/>
    <n v="0"/>
    <n v="0"/>
    <n v="0"/>
    <n v="2"/>
    <s v="PD"/>
    <s v="BACTS"/>
    <n v="6"/>
    <s v="Traffic Signals (Stop &amp; Go)"/>
    <s v="Unknown"/>
    <n v="3"/>
    <s v="Penobscot"/>
    <s v="2019-52829"/>
    <s v="BREWER POLICE DEPARTMENT"/>
    <s v="19-040333"/>
    <n v="44.797049169999987"/>
    <n v="-68.761350610000008"/>
    <n v="5"/>
    <s v="May"/>
    <s v="19050"/>
    <n v="4041936"/>
    <n v="4"/>
    <s v="4 - Eastern Region"/>
    <s v="2"/>
    <s v="Urban"/>
    <s v="NODE"/>
    <n v="315117"/>
    <n v="0"/>
  </r>
  <r>
    <x v="0"/>
    <s v="2019-48803"/>
    <d v="2019-04-11T00:00:00"/>
    <s v="Brewer"/>
    <s v="Thursday"/>
    <s v="10:53:00"/>
    <x v="6"/>
    <s v="None"/>
    <s v="Daylight"/>
    <s v="Intersection Movement"/>
    <s v="Four Leg Intersection"/>
    <s v="Dry"/>
    <s v="Clear"/>
    <s v="Yes"/>
    <s v="Ran Red Light"/>
    <m/>
    <s v="No Contributing Action"/>
    <m/>
    <n v="39690"/>
    <s v="0009B"/>
    <s v="ST RTE 9B"/>
    <n v="10.28"/>
    <n v="1"/>
    <n v="22335.5"/>
    <m/>
    <s v="N"/>
    <s v="N"/>
    <s v="N"/>
    <s v="N"/>
    <s v="No"/>
    <s v="No"/>
    <n v="2"/>
    <n v="5"/>
    <n v="0"/>
    <n v="0"/>
    <n v="0"/>
    <n v="0"/>
    <n v="0"/>
    <n v="5"/>
    <s v="PD"/>
    <s v="BACTS"/>
    <n v="10"/>
    <s v="Traffic Signals (Stop &amp; Go)"/>
    <s v="Unknown"/>
    <n v="5"/>
    <s v="Penobscot"/>
    <s v="2019-48803"/>
    <s v="BREWER POLICE DEPARTMENT"/>
    <s v="19-026674"/>
    <n v="44.797049169999987"/>
    <n v="-68.761350610000008"/>
    <n v="4"/>
    <s v="April"/>
    <s v="19050"/>
    <n v="4041936"/>
    <n v="4"/>
    <s v="4 - Eastern Region"/>
    <s v="2"/>
    <s v="Urban"/>
    <s v="NODE"/>
    <n v="325654"/>
    <n v="0"/>
  </r>
  <r>
    <x v="0"/>
    <s v="2019-48498"/>
    <d v="2019-04-09T00:00:00"/>
    <s v="Brewer"/>
    <s v="Tuesday"/>
    <s v="19:19:00"/>
    <x v="6"/>
    <s v="Road Surface Condition (Wet, Icy, Snow, Slush, etc.)"/>
    <s v="Dusk"/>
    <s v="Rear End / Sideswipe"/>
    <s v="Four Leg Intersection"/>
    <s v="Snow"/>
    <s v="Snow"/>
    <s v="No"/>
    <s v="Drove Too Fast For Conditions"/>
    <m/>
    <s v="No Contributing Action"/>
    <m/>
    <n v="39690"/>
    <s v="0009B"/>
    <s v="ST RTE 9B"/>
    <n v="10.28"/>
    <n v="1"/>
    <n v="22335.5"/>
    <m/>
    <s v="N"/>
    <s v="N"/>
    <s v="N"/>
    <s v="N"/>
    <s v="No"/>
    <s v="No"/>
    <n v="2"/>
    <n v="2"/>
    <n v="0"/>
    <n v="0"/>
    <n v="0"/>
    <n v="0"/>
    <n v="0"/>
    <n v="2"/>
    <s v="PD"/>
    <s v="BACTS"/>
    <n v="19"/>
    <s v="Traffic Signals (Stop &amp; Go)"/>
    <s v="Unknown"/>
    <n v="3"/>
    <s v="Penobscot"/>
    <s v="2019-48498"/>
    <s v="BREWER POLICE DEPARTMENT"/>
    <s v="19-026247"/>
    <n v="44.797049169999987"/>
    <n v="-68.761350610000008"/>
    <n v="4"/>
    <s v="April"/>
    <s v="19050"/>
    <n v="4041936"/>
    <n v="4"/>
    <s v="4 - Eastern Region"/>
    <s v="2"/>
    <s v="Urban"/>
    <s v="NODE"/>
    <n v="326620"/>
    <n v="0"/>
  </r>
  <r>
    <x v="0"/>
    <s v="2022-13501"/>
    <d v="2022-05-15T00:00:00"/>
    <s v="Brewer"/>
    <s v="Sunday"/>
    <s v="12:49:00"/>
    <x v="3"/>
    <s v="None"/>
    <s v="Daylight"/>
    <s v="Rear End / Sideswipe"/>
    <s v="Three Leg Intersection"/>
    <s v="Dry"/>
    <s v="Cloudy"/>
    <s v="Yes"/>
    <s v="Other Contributing Action"/>
    <m/>
    <s v="Followed Too Closely"/>
    <m/>
    <n v="39690"/>
    <s v="0009B"/>
    <s v="ST RTE 9B"/>
    <n v="10.28"/>
    <n v="1"/>
    <n v="22335.5"/>
    <m/>
    <s v="N"/>
    <s v="N"/>
    <s v="N"/>
    <s v="N"/>
    <s v="No"/>
    <s v="No"/>
    <n v="2"/>
    <n v="3"/>
    <n v="0"/>
    <n v="0"/>
    <n v="0"/>
    <n v="0"/>
    <n v="0"/>
    <n v="3"/>
    <s v="PD"/>
    <s v="BACTS"/>
    <n v="12"/>
    <s v="Yield Sign"/>
    <s v="Unknown"/>
    <n v="1"/>
    <s v="Penobscot"/>
    <s v="2022-13501"/>
    <s v="BREWER POLICE DEPARTMENT"/>
    <s v="22-034956"/>
    <n v="44.797342489999998"/>
    <n v="-68.761545810000001"/>
    <n v="5"/>
    <s v="May"/>
    <s v="19050"/>
    <n v="4041936"/>
    <n v="4"/>
    <s v="4 - Eastern Region"/>
    <s v="2"/>
    <s v="Urban"/>
    <s v="NODE"/>
    <n v="334336"/>
    <n v="0"/>
  </r>
  <r>
    <x v="0"/>
    <s v="2021-30880"/>
    <d v="2021-11-10T00:00:00"/>
    <s v="Brewer"/>
    <s v="Wednesday"/>
    <s v="17:30:00"/>
    <x v="7"/>
    <s v="None"/>
    <s v="Dark - Not Lighted"/>
    <s v="Rear End / Sideswipe"/>
    <s v="Four Leg Intersection"/>
    <s v="Dry"/>
    <s v="Clear"/>
    <s v="Yes"/>
    <s v="Followed Too Closely"/>
    <m/>
    <s v="No Contributing Action"/>
    <m/>
    <n v="39690"/>
    <s v="0009B"/>
    <s v="ST RTE 9B"/>
    <n v="10.28"/>
    <n v="1"/>
    <n v="22335.5"/>
    <m/>
    <s v="N"/>
    <s v="N"/>
    <s v="N"/>
    <s v="N"/>
    <s v="No"/>
    <s v="No"/>
    <n v="2"/>
    <n v="3"/>
    <n v="0"/>
    <n v="0"/>
    <n v="0"/>
    <n v="0"/>
    <n v="0"/>
    <n v="3"/>
    <s v="PD"/>
    <s v="BACTS"/>
    <n v="17"/>
    <s v="Traffic Signals (Stop &amp; Go)"/>
    <s v="Unknown"/>
    <n v="4"/>
    <s v="Penobscot"/>
    <s v="2021-30880"/>
    <s v="BREWER POLICE DEPARTMENT"/>
    <s v="21-086509"/>
    <n v="44.797049169999987"/>
    <n v="-68.761350610000008"/>
    <n v="11"/>
    <s v="November"/>
    <s v="19050"/>
    <n v="4041936"/>
    <n v="4"/>
    <s v="4 - Eastern Region"/>
    <s v="2"/>
    <s v="Urban"/>
    <s v="NODE"/>
    <n v="335125"/>
    <n v="0"/>
  </r>
  <r>
    <x v="1"/>
    <s v="2019-75722"/>
    <d v="2019-12-04T00:00:00"/>
    <s v="Brewer"/>
    <s v="Wednesday"/>
    <s v="13:00:00"/>
    <x v="6"/>
    <s v="None"/>
    <s v="Daylight"/>
    <s v="Rear End / Sideswipe"/>
    <s v="Driveways"/>
    <s v="Snow"/>
    <s v="Cloudy"/>
    <m/>
    <s v="No Contributing Action"/>
    <m/>
    <m/>
    <m/>
    <m/>
    <s v="1920022"/>
    <s v="RD INV 19 20022"/>
    <n v="0.03"/>
    <n v="5"/>
    <n v="755"/>
    <n v="25"/>
    <s v="N"/>
    <s v="N"/>
    <s v="N"/>
    <s v="N"/>
    <s v="No"/>
    <s v="No"/>
    <n v="2"/>
    <n v="2"/>
    <n v="0"/>
    <n v="0"/>
    <n v="0"/>
    <n v="0"/>
    <n v="0"/>
    <n v="1"/>
    <s v="PD"/>
    <s v="BACTS"/>
    <n v="13"/>
    <s v="None"/>
    <s v="Unposted"/>
    <n v="4"/>
    <s v="Penobscot"/>
    <s v="2019-75722"/>
    <s v="BREWER POLICE DEPARTMENT"/>
    <s v="19-099196"/>
    <n v="44.79200908"/>
    <n v="-68.75910257000001"/>
    <n v="12"/>
    <s v="December"/>
    <s v="19050"/>
    <n v="218069"/>
    <n v="4"/>
    <s v="4 - Eastern Region"/>
    <s v="2"/>
    <s v="Urban"/>
    <s v="ELEMENT"/>
    <n v="48810"/>
    <n v="0.03"/>
  </r>
  <r>
    <x v="1"/>
    <s v="2022-37854"/>
    <d v="2022-12-12T00:00:00"/>
    <s v="Brewer"/>
    <s v="Monday"/>
    <s v="15:22:00"/>
    <x v="3"/>
    <s v="None"/>
    <s v="Daylight"/>
    <s v="Rear End / Sideswipe"/>
    <s v="Straight Road"/>
    <s v="Dry"/>
    <s v="Clear"/>
    <s v="Yes"/>
    <s v="Over-Correcting/Over-Steering"/>
    <s v="Failed to Keep in Proper Lane"/>
    <m/>
    <m/>
    <m/>
    <s v="1920022"/>
    <s v="RD INV 19 20022"/>
    <n v="0.04"/>
    <n v="5"/>
    <n v="755"/>
    <n v="25"/>
    <s v="N"/>
    <s v="N"/>
    <m/>
    <s v="N"/>
    <s v="No"/>
    <s v="No"/>
    <n v="2"/>
    <n v="2"/>
    <n v="0"/>
    <n v="0"/>
    <n v="0"/>
    <n v="0"/>
    <n v="0"/>
    <n v="1"/>
    <s v="PD"/>
    <s v="BACTS"/>
    <n v="15"/>
    <s v="Stop Signs - Other"/>
    <s v="Unposted"/>
    <n v="2"/>
    <s v="Penobscot"/>
    <s v="2022-37854"/>
    <s v="BREWER POLICE DEPARTMENT"/>
    <s v="22-093378"/>
    <n v="44.79207787"/>
    <n v="-68.759149120000004"/>
    <n v="12"/>
    <s v="December"/>
    <s v="19050"/>
    <n v="218069"/>
    <n v="4"/>
    <s v="4 - Eastern Region"/>
    <s v="2"/>
    <s v="Urban"/>
    <s v="ELEMENT"/>
    <n v="63869"/>
    <n v="0.04"/>
  </r>
  <r>
    <x v="1"/>
    <s v="2019-65329"/>
    <d v="2019-09-20T00:00:00"/>
    <s v="Brewer"/>
    <s v="Friday"/>
    <s v="17:50:00"/>
    <x v="6"/>
    <s v="None"/>
    <s v="Daylight"/>
    <s v="Rear End / Sideswipe"/>
    <s v="Straight Road"/>
    <s v="Dry"/>
    <s v="Clear"/>
    <m/>
    <s v="No Contributing Action"/>
    <m/>
    <s v="Unknown"/>
    <m/>
    <m/>
    <s v="009BE"/>
    <s v="ST RTE 9BE"/>
    <n v="0.05"/>
    <n v="2"/>
    <n v="3580"/>
    <n v="25"/>
    <s v="N"/>
    <s v="N"/>
    <s v="N"/>
    <s v="N"/>
    <s v="No"/>
    <s v="No"/>
    <n v="2"/>
    <n v="2"/>
    <n v="0"/>
    <n v="0"/>
    <n v="0"/>
    <n v="0"/>
    <n v="0"/>
    <n v="2"/>
    <s v="PD"/>
    <s v="BACTS"/>
    <n v="17"/>
    <s v="None"/>
    <s v="Posted"/>
    <n v="6"/>
    <s v="Penobscot"/>
    <s v="2019-65329"/>
    <s v="BREWER POLICE DEPARTMENT"/>
    <s v="19-077405"/>
    <n v="44.79658397"/>
    <n v="-68.762419010000002"/>
    <n v="9"/>
    <s v="September"/>
    <s v="19050"/>
    <n v="4041895"/>
    <n v="4"/>
    <s v="4 - Eastern Region"/>
    <s v="2"/>
    <s v="Urban"/>
    <s v="ELEMENT"/>
    <n v="65017"/>
    <n v="0.01"/>
  </r>
  <r>
    <x v="1"/>
    <s v="2019-64916"/>
    <d v="2019-09-16T00:00:00"/>
    <s v="Brewer"/>
    <s v="Monday"/>
    <s v="14:52:00"/>
    <x v="6"/>
    <s v="None"/>
    <s v="Daylight"/>
    <s v="Went Off Road"/>
    <s v="Straight Road"/>
    <s v="Dry"/>
    <s v="Cloudy"/>
    <m/>
    <s v="Ran Off Roadway"/>
    <m/>
    <m/>
    <m/>
    <m/>
    <s v="0009B"/>
    <s v="ST RTE 9B"/>
    <n v="10.25"/>
    <n v="2"/>
    <n v="6227"/>
    <n v="25"/>
    <s v="N"/>
    <s v="N"/>
    <s v="N"/>
    <s v="N"/>
    <s v="No"/>
    <s v="No"/>
    <n v="1"/>
    <n v="1"/>
    <n v="1"/>
    <n v="0"/>
    <n v="0"/>
    <n v="0"/>
    <n v="1"/>
    <n v="0"/>
    <s v="C"/>
    <s v="BACTS"/>
    <n v="14"/>
    <s v="None"/>
    <s v="Posted"/>
    <n v="2"/>
    <s v="Penobscot"/>
    <s v="2019-64916"/>
    <s v="BREWER POLICE DEPARTMENT"/>
    <s v="19-075945"/>
    <n v="44.796836979999988"/>
    <n v="-68.761809809999988"/>
    <n v="9"/>
    <s v="September"/>
    <s v="19050"/>
    <n v="4041935"/>
    <n v="4"/>
    <s v="4 - Eastern Region"/>
    <s v="2"/>
    <s v="Urban"/>
    <s v="ELEMENT"/>
    <n v="66965"/>
    <n v="0.01"/>
  </r>
  <r>
    <x v="1"/>
    <s v="2021-1188"/>
    <d v="2021-01-15T00:00:00"/>
    <s v="Brewer"/>
    <s v="Friday"/>
    <s v="19:15:00"/>
    <x v="7"/>
    <s v="None"/>
    <s v="Dark - Lighted"/>
    <s v="Rear End / Sideswipe"/>
    <s v="Driveways"/>
    <s v="Dry"/>
    <s v="Clear"/>
    <m/>
    <s v="Improper Turn"/>
    <m/>
    <m/>
    <m/>
    <n v="39688"/>
    <s v="0009B"/>
    <s v="ST RTE 9B"/>
    <n v="10.210000000000001"/>
    <n v="2"/>
    <n v="6895"/>
    <m/>
    <s v="N"/>
    <s v="N"/>
    <s v="N"/>
    <s v="N"/>
    <s v="No"/>
    <s v="No"/>
    <n v="1"/>
    <n v="1"/>
    <n v="0"/>
    <n v="0"/>
    <n v="0"/>
    <n v="0"/>
    <n v="0"/>
    <n v="1"/>
    <s v="PD"/>
    <s v="BACTS"/>
    <n v="19"/>
    <s v="None"/>
    <s v="Unknown"/>
    <n v="6"/>
    <s v="Penobscot"/>
    <s v="2021-01188"/>
    <s v="BREWER POLICE DEPARTMENT"/>
    <s v="21-003518"/>
    <n v="44.796494680000002"/>
    <n v="-68.762539459999999"/>
    <n v="1"/>
    <s v="January"/>
    <s v="19050"/>
    <n v="4041898"/>
    <n v="4"/>
    <s v="4 - Eastern Region"/>
    <s v="2"/>
    <s v="Urban"/>
    <s v="NODE"/>
    <n v="161667"/>
    <n v="0"/>
  </r>
  <r>
    <x v="1"/>
    <s v="2019-78426"/>
    <d v="2019-12-19T00:00:00"/>
    <s v="Brewer"/>
    <s v="Thursday"/>
    <s v="11:20:00"/>
    <x v="6"/>
    <s v="None"/>
    <s v="Daylight"/>
    <s v="Intersection Movement"/>
    <s v="Four Leg Intersection"/>
    <s v="Snow"/>
    <s v="Clear"/>
    <s v="Yes"/>
    <s v="Ran Stop Sign"/>
    <m/>
    <s v="No Contributing Action"/>
    <m/>
    <n v="38315"/>
    <s v="1920022"/>
    <s v="RD INV 19 20022"/>
    <n v="7.0000000000000007E-2"/>
    <n v="5"/>
    <n v="991"/>
    <m/>
    <s v="N"/>
    <s v="N"/>
    <s v="N"/>
    <s v="N"/>
    <s v="No"/>
    <s v="No"/>
    <n v="2"/>
    <n v="2"/>
    <n v="0"/>
    <n v="0"/>
    <n v="0"/>
    <n v="0"/>
    <n v="0"/>
    <n v="2"/>
    <s v="PD"/>
    <s v="BACTS"/>
    <n v="11"/>
    <s v="Stop Signs - Other"/>
    <s v="Unknown"/>
    <n v="5"/>
    <s v="Penobscot"/>
    <s v="2019-78426"/>
    <s v="BREWER POLICE DEPARTMENT"/>
    <s v="19-103640"/>
    <n v="44.79245976"/>
    <n v="-68.75940756"/>
    <n v="12"/>
    <s v="December"/>
    <s v="19050"/>
    <n v="218072"/>
    <n v="4"/>
    <s v="4 - Eastern Region"/>
    <s v="2"/>
    <s v="Urban"/>
    <s v="NODE"/>
    <n v="214203"/>
    <n v="0"/>
  </r>
  <r>
    <x v="1"/>
    <s v="2024-30574"/>
    <d v="2024-10-24T00:00:00"/>
    <s v="Brewer"/>
    <s v="Thursday "/>
    <s v="11:14:00"/>
    <x v="4"/>
    <s v="None"/>
    <s v="Daylight"/>
    <s v="Intersection Movement"/>
    <s v="Driveways"/>
    <s v="Dry"/>
    <s v="Clear"/>
    <m/>
    <s v="Improper Backing"/>
    <m/>
    <s v="Improper Backing"/>
    <m/>
    <n v="38316"/>
    <s v="1920021"/>
    <s v="RD INV 19 20021"/>
    <n v="0"/>
    <n v="5"/>
    <n v="401.5"/>
    <m/>
    <s v="N"/>
    <s v="N"/>
    <m/>
    <s v="N"/>
    <s v="No"/>
    <s v="No"/>
    <n v="2"/>
    <n v="2"/>
    <n v="0"/>
    <n v="0"/>
    <n v="0"/>
    <n v="0"/>
    <n v="0"/>
    <n v="2"/>
    <s v="PD"/>
    <s v="BACTS"/>
    <n v="11"/>
    <s v="None"/>
    <s v="Unknown"/>
    <n v="5"/>
    <s v="Penobscot"/>
    <s v="2024-30574"/>
    <s v="BREWER POLICE DEPARTMENT"/>
    <s v="24-080719"/>
    <n v="44.793385740000012"/>
    <n v="-68.760034270000006"/>
    <n v="10"/>
    <s v="October"/>
    <s v="19050"/>
    <n v="218074"/>
    <n v="4"/>
    <s v="4 - Eastern Region"/>
    <s v="2"/>
    <s v="Urban"/>
    <s v="NODE"/>
    <n v="223255"/>
    <n v="0"/>
  </r>
  <r>
    <x v="1"/>
    <s v="2018-22142"/>
    <d v="2018-07-26T00:00:00"/>
    <s v="Brewer"/>
    <s v="Thursday"/>
    <s v="10:51:00"/>
    <x v="2"/>
    <s v="None"/>
    <s v="Daylight"/>
    <s v="Intersection Movement"/>
    <s v="Three Leg Intersection"/>
    <s v="Wet"/>
    <s v="Rain"/>
    <s v="Yes"/>
    <s v="Failed to Yield Right-of-Way"/>
    <m/>
    <s v="No Contributing Action"/>
    <m/>
    <n v="65528"/>
    <s v="009BE"/>
    <s v="ST RTE 9BE"/>
    <n v="0.04"/>
    <n v="2"/>
    <n v="3571"/>
    <m/>
    <s v="N"/>
    <s v="N"/>
    <s v="N"/>
    <s v="N"/>
    <s v="No"/>
    <s v="No"/>
    <n v="2"/>
    <n v="2"/>
    <n v="0"/>
    <n v="0"/>
    <n v="0"/>
    <n v="0"/>
    <n v="0"/>
    <n v="2"/>
    <s v="PD"/>
    <s v="BACTS"/>
    <n v="10"/>
    <s v="Stop Signs - Other"/>
    <s v="Unknown"/>
    <n v="5"/>
    <s v="Penobscot"/>
    <s v="2018-22142"/>
    <s v="BREWER POLICE DEPARTMENT"/>
    <s v="18-058251"/>
    <n v="44.796631679999997"/>
    <n v="-68.762321349999993"/>
    <n v="7"/>
    <s v="July"/>
    <s v="19050"/>
    <n v="4041895"/>
    <n v="4"/>
    <s v="4 - Eastern Region"/>
    <s v="2"/>
    <s v="Urban"/>
    <s v="NODE"/>
    <n v="229586"/>
    <n v="0"/>
  </r>
  <r>
    <x v="1"/>
    <s v="2019-54549"/>
    <d v="2019-05-22T00:00:00"/>
    <s v="Brewer"/>
    <s v="Wednesday"/>
    <s v="10:00:00"/>
    <x v="6"/>
    <s v="None"/>
    <s v="Daylight"/>
    <s v="Rear End / Sideswipe"/>
    <s v="Straight Road"/>
    <s v="Dry"/>
    <s v="Clear"/>
    <m/>
    <s v="No Contributing Action"/>
    <m/>
    <m/>
    <m/>
    <m/>
    <s v="1920022"/>
    <s v="RD INV 19 20022"/>
    <n v="0.11"/>
    <n v="5"/>
    <n v="356"/>
    <n v="25"/>
    <s v="N"/>
    <s v="N"/>
    <s v="N"/>
    <s v="N"/>
    <s v="No"/>
    <s v="No"/>
    <n v="2"/>
    <n v="4"/>
    <n v="0"/>
    <n v="0"/>
    <n v="0"/>
    <n v="0"/>
    <n v="0"/>
    <n v="3"/>
    <s v="PD"/>
    <s v="BACTS"/>
    <n v="10"/>
    <s v="None"/>
    <s v="Unposted"/>
    <n v="4"/>
    <s v="Penobscot"/>
    <s v="2019-54549"/>
    <s v="BREWER POLICE DEPARTMENT"/>
    <s v="19-038695"/>
    <n v="44.792960000000001"/>
    <n v="-68.759749999999997"/>
    <n v="5"/>
    <s v="May"/>
    <s v="19050"/>
    <n v="218072"/>
    <n v="4"/>
    <s v="4 - Eastern Region"/>
    <s v="2"/>
    <s v="Urban"/>
    <s v="ELEMENT"/>
    <n v="236429"/>
    <n v="0.04"/>
  </r>
  <r>
    <x v="1"/>
    <s v="2018-31713"/>
    <d v="2018-10-30T00:00:00"/>
    <s v="Brewer"/>
    <s v="Tuesday"/>
    <s v="17:12:00"/>
    <x v="2"/>
    <s v="None"/>
    <s v="Daylight"/>
    <s v="Rear End / Sideswipe"/>
    <s v="Straight Road"/>
    <s v="Dry"/>
    <s v="Clear"/>
    <m/>
    <s v="No Contributing Action"/>
    <m/>
    <s v="Improper Backing"/>
    <m/>
    <m/>
    <s v="1920022"/>
    <s v="RD INV 19 20022"/>
    <n v="0.11"/>
    <n v="5"/>
    <n v="356"/>
    <n v="25"/>
    <s v="N"/>
    <s v="N"/>
    <s v="N"/>
    <s v="N"/>
    <s v="No"/>
    <s v="No"/>
    <n v="2"/>
    <n v="2"/>
    <n v="0"/>
    <n v="0"/>
    <n v="0"/>
    <n v="0"/>
    <n v="0"/>
    <n v="2"/>
    <s v="PD"/>
    <s v="BACTS"/>
    <n v="17"/>
    <s v="None"/>
    <s v="Unposted"/>
    <n v="3"/>
    <s v="Penobscot"/>
    <s v="2018-31713"/>
    <s v="BREWER POLICE DEPARTMENT"/>
    <s v="18-087746"/>
    <n v="44.792988880000003"/>
    <n v="-68.759765669999993"/>
    <n v="10"/>
    <s v="October"/>
    <s v="19050"/>
    <n v="218072"/>
    <n v="4"/>
    <s v="4 - Eastern Region"/>
    <s v="2"/>
    <s v="Urban"/>
    <s v="ELEMENT"/>
    <n v="305097"/>
    <n v="0.04"/>
  </r>
  <r>
    <x v="1"/>
    <s v="2023-16580"/>
    <d v="2023-06-11T00:00:00"/>
    <s v="Brewer"/>
    <s v="Sunday"/>
    <s v="11:53:00"/>
    <x v="0"/>
    <s v="None"/>
    <s v="Daylight"/>
    <s v="Intersection Movement"/>
    <s v="Four Leg Intersection"/>
    <s v="Dry"/>
    <s v="Clear"/>
    <s v="Yes"/>
    <m/>
    <m/>
    <s v="No Contributing Action"/>
    <m/>
    <n v="38315"/>
    <s v="1920022"/>
    <s v="RD INV 19 20022"/>
    <n v="7.0000000000000007E-2"/>
    <n v="5"/>
    <n v="991"/>
    <m/>
    <s v="N"/>
    <s v="N"/>
    <m/>
    <s v="N"/>
    <s v="No"/>
    <s v="No"/>
    <n v="2"/>
    <n v="1"/>
    <n v="0"/>
    <n v="0"/>
    <n v="0"/>
    <n v="0"/>
    <n v="0"/>
    <n v="1"/>
    <s v="PD"/>
    <s v="BACTS"/>
    <n v="11"/>
    <s v="Stop Signs - Other"/>
    <s v="Unknown"/>
    <n v="1"/>
    <s v="Penobscot"/>
    <s v="2023-16580"/>
    <s v="BREWER POLICE DEPARTMENT"/>
    <s v="23-043878"/>
    <n v="44.79245976"/>
    <n v="-68.75940756"/>
    <n v="6"/>
    <s v="June"/>
    <s v="19050"/>
    <n v="218072"/>
    <n v="4"/>
    <s v="4 - Eastern Region"/>
    <s v="2"/>
    <s v="Urban"/>
    <s v="NODE"/>
    <n v="305792"/>
    <n v="0"/>
  </r>
  <r>
    <x v="2"/>
    <s v="2018-2448"/>
    <d v="2018-01-19T00:00:00"/>
    <s v="Brewer"/>
    <s v="Friday"/>
    <s v="13:05:00"/>
    <x v="2"/>
    <s v="None"/>
    <s v="Daylight"/>
    <s v="Rear End / Sideswipe"/>
    <s v="Four Leg Intersection"/>
    <s v="Dry"/>
    <s v="Clear"/>
    <s v="Yes"/>
    <s v="Followed Too Closely"/>
    <m/>
    <s v="No Contributing Action"/>
    <m/>
    <n v="39685"/>
    <s v="0001A"/>
    <s v="US 1A"/>
    <n v="39.08"/>
    <n v="1"/>
    <n v="23788.5"/>
    <m/>
    <s v="N"/>
    <s v="N"/>
    <s v="N"/>
    <s v="N"/>
    <s v="No"/>
    <s v="No"/>
    <n v="2"/>
    <n v="2"/>
    <n v="1"/>
    <n v="0"/>
    <n v="0"/>
    <n v="0"/>
    <n v="1"/>
    <n v="1"/>
    <s v="C"/>
    <s v="BACTS"/>
    <n v="13"/>
    <s v="Traffic Signals (Stop &amp; Go)"/>
    <s v="Unknown"/>
    <n v="6"/>
    <s v="Penobscot"/>
    <s v="2018-02448"/>
    <s v="BREWER POLICE DEPARTMENT"/>
    <s v="18-004663"/>
    <n v="44.794701119999999"/>
    <n v="-68.766163859999992"/>
    <n v="1"/>
    <s v="January"/>
    <s v="19050"/>
    <n v="3111001"/>
    <n v="4"/>
    <s v="4 - Eastern Region"/>
    <s v="2"/>
    <s v="Urban"/>
    <s v="NODE"/>
    <n v="7774"/>
    <n v="0"/>
  </r>
  <r>
    <x v="2"/>
    <s v="2018-21786"/>
    <d v="2018-04-05T00:00:00"/>
    <s v="Brewer"/>
    <s v="Thursday"/>
    <s v="15:08:00"/>
    <x v="2"/>
    <s v="Road Surface Condition (Wet, Icy, Snow, Slush, etc.)"/>
    <s v="Daylight"/>
    <s v="Rear End / Sideswipe"/>
    <s v="Four Leg Intersection"/>
    <s v="Wet"/>
    <s v="Rain"/>
    <s v="Yes"/>
    <s v="No Contributing Action"/>
    <m/>
    <s v="Followed Too Closely"/>
    <m/>
    <n v="39685"/>
    <s v="0001A"/>
    <s v="US 1A"/>
    <n v="39.08"/>
    <n v="1"/>
    <n v="23788.5"/>
    <m/>
    <s v="N"/>
    <s v="N"/>
    <s v="N"/>
    <s v="N"/>
    <s v="No"/>
    <s v="No"/>
    <n v="2"/>
    <n v="4"/>
    <n v="1"/>
    <n v="0"/>
    <n v="0"/>
    <n v="0"/>
    <n v="1"/>
    <n v="3"/>
    <s v="C"/>
    <s v="BACTS"/>
    <n v="15"/>
    <s v="Traffic Signals (Stop &amp; Go)"/>
    <s v="Unknown"/>
    <n v="5"/>
    <s v="Penobscot"/>
    <s v="2018-21786"/>
    <s v="BREWER POLICE DEPARTMENT"/>
    <s v="18-024533"/>
    <n v="44.794701119999999"/>
    <n v="-68.766163859999992"/>
    <n v="4"/>
    <s v="April"/>
    <s v="19050"/>
    <n v="3111001"/>
    <n v="4"/>
    <s v="4 - Eastern Region"/>
    <s v="2"/>
    <s v="Urban"/>
    <s v="NODE"/>
    <n v="10997"/>
    <n v="0"/>
  </r>
  <r>
    <x v="2"/>
    <s v="2023-36978"/>
    <d v="2023-12-07T00:00:00"/>
    <s v="Brewer"/>
    <s v="Thursday "/>
    <s v="13:28:00"/>
    <x v="0"/>
    <s v="None"/>
    <s v="Daylight"/>
    <s v="Intersection Movement"/>
    <s v="Driveways"/>
    <s v="Dry"/>
    <s v="Clear"/>
    <s v="Yes"/>
    <s v="Failed to Yield Right-of-Way"/>
    <m/>
    <s v="No Contributing Action"/>
    <m/>
    <m/>
    <s v="0001A"/>
    <s v="US 1A"/>
    <n v="39.950000000000003"/>
    <n v="1"/>
    <n v="9197"/>
    <n v="25"/>
    <s v="N"/>
    <s v="N"/>
    <m/>
    <s v="N"/>
    <s v="No"/>
    <s v="No"/>
    <n v="2"/>
    <n v="2"/>
    <n v="1"/>
    <n v="0"/>
    <n v="0"/>
    <n v="0"/>
    <n v="1"/>
    <n v="1"/>
    <s v="C"/>
    <s v="BACTS"/>
    <n v="13"/>
    <s v="No Passing Zone"/>
    <s v="Posted"/>
    <n v="5"/>
    <s v="Penobscot"/>
    <s v="2023-36978"/>
    <s v="BREWER POLICE DEPARTMENT"/>
    <s v="23-095538"/>
    <n v="44.78565802"/>
    <n v="-68.754073270000006"/>
    <n v="12"/>
    <s v="December"/>
    <s v="19050"/>
    <n v="3111058"/>
    <n v="4"/>
    <s v="4 - Eastern Region"/>
    <s v="2"/>
    <s v="Urban"/>
    <s v="ELEMENT"/>
    <n v="11690"/>
    <n v="0.02"/>
  </r>
  <r>
    <x v="2"/>
    <s v="2018-21973"/>
    <d v="2018-06-02T00:00:00"/>
    <s v="Brewer"/>
    <s v="Saturday"/>
    <s v="16:06:00"/>
    <x v="2"/>
    <s v="None"/>
    <s v="Daylight"/>
    <s v="Rear End / Sideswipe"/>
    <s v="Four Leg Intersection"/>
    <s v="Dry"/>
    <s v="Clear"/>
    <s v="Yes"/>
    <s v="Followed Too Closely"/>
    <s v="No Contributing Action"/>
    <s v="No Contributing Action"/>
    <m/>
    <n v="39685"/>
    <s v="0001A"/>
    <s v="US 1A"/>
    <n v="39.08"/>
    <n v="1"/>
    <n v="23788.5"/>
    <m/>
    <s v="N"/>
    <s v="N"/>
    <s v="N"/>
    <s v="N"/>
    <s v="No"/>
    <s v="No"/>
    <n v="2"/>
    <n v="5"/>
    <n v="0"/>
    <n v="0"/>
    <n v="0"/>
    <n v="0"/>
    <n v="0"/>
    <n v="5"/>
    <s v="PD"/>
    <s v="BACTS"/>
    <n v="16"/>
    <s v="Traffic Signals (Stop &amp; Go)"/>
    <s v="Unknown"/>
    <n v="7"/>
    <s v="Penobscot"/>
    <s v="2018-21973"/>
    <s v="BREWER POLICE DEPARTMENT"/>
    <s v="18-041783"/>
    <n v="44.794701119999999"/>
    <n v="-68.766163859999992"/>
    <n v="6"/>
    <s v="June"/>
    <s v="19050"/>
    <n v="3111001"/>
    <n v="4"/>
    <s v="4 - Eastern Region"/>
    <s v="2"/>
    <s v="Urban"/>
    <s v="NODE"/>
    <n v="18716"/>
    <n v="0"/>
  </r>
  <r>
    <x v="2"/>
    <s v="2018-21977"/>
    <d v="2018-06-02T00:00:00"/>
    <s v="Brewer"/>
    <s v="Saturday"/>
    <s v="12:02:00"/>
    <x v="2"/>
    <s v="None"/>
    <s v="Daylight"/>
    <s v="Rear End / Sideswipe"/>
    <s v="Four Leg Intersection"/>
    <s v="Dry"/>
    <s v="Clear"/>
    <s v="Yes"/>
    <s v="Followed Too Closely"/>
    <m/>
    <s v="No Contributing Action"/>
    <m/>
    <n v="39685"/>
    <s v="0001A"/>
    <s v="US 1A"/>
    <n v="39.08"/>
    <n v="1"/>
    <n v="23788.5"/>
    <m/>
    <s v="N"/>
    <s v="N"/>
    <s v="N"/>
    <s v="N"/>
    <s v="No"/>
    <s v="No"/>
    <n v="3"/>
    <n v="6"/>
    <n v="0"/>
    <n v="0"/>
    <n v="0"/>
    <n v="0"/>
    <n v="0"/>
    <n v="6"/>
    <s v="PD"/>
    <s v="BACTS"/>
    <n v="12"/>
    <s v="Traffic Signals (Stop &amp; Go)"/>
    <s v="Unknown"/>
    <n v="7"/>
    <s v="Penobscot"/>
    <s v="2018-21977"/>
    <s v="BREWER POLICE DEPARTMENT"/>
    <s v="18-041707"/>
    <n v="44.794699999999999"/>
    <n v="-68.766159999999999"/>
    <n v="6"/>
    <s v="June"/>
    <s v="19050"/>
    <n v="3111001"/>
    <n v="4"/>
    <s v="4 - Eastern Region"/>
    <s v="2"/>
    <s v="Urban"/>
    <s v="NODE"/>
    <n v="18765"/>
    <n v="0"/>
  </r>
  <r>
    <x v="2"/>
    <s v="2018-22081"/>
    <d v="2018-07-05T00:00:00"/>
    <s v="Brewer"/>
    <s v="Thursday"/>
    <s v="08:20:00"/>
    <x v="2"/>
    <s v="None"/>
    <s v="Daylight"/>
    <s v="Rear End / Sideswipe"/>
    <s v="Straight Road"/>
    <s v="Dry"/>
    <s v="Clear"/>
    <m/>
    <s v="Followed Too Closely"/>
    <m/>
    <s v="No Contributing Action"/>
    <m/>
    <m/>
    <s v="0001A"/>
    <s v="US 1A"/>
    <n v="39.32"/>
    <n v="1"/>
    <n v="8737"/>
    <n v="25"/>
    <s v="N"/>
    <s v="N"/>
    <s v="N"/>
    <s v="N"/>
    <s v="No"/>
    <s v="No"/>
    <n v="2"/>
    <n v="3"/>
    <n v="0"/>
    <n v="0"/>
    <n v="0"/>
    <n v="0"/>
    <n v="0"/>
    <n v="3"/>
    <s v="PD"/>
    <s v="BACTS"/>
    <n v="8"/>
    <s v="None"/>
    <s v="Posted"/>
    <n v="5"/>
    <s v="Penobscot"/>
    <s v="2018-22081"/>
    <s v="BREWER POLICE DEPARTMENT"/>
    <s v="18-051592"/>
    <n v="44.792553099999999"/>
    <n v="-68.762458609999996"/>
    <n v="7"/>
    <s v="July"/>
    <s v="19050"/>
    <n v="3944111"/>
    <n v="4"/>
    <s v="4 - Eastern Region"/>
    <s v="2"/>
    <s v="Urban"/>
    <s v="ELEMENT"/>
    <n v="19997"/>
    <n v="0.13"/>
  </r>
  <r>
    <x v="2"/>
    <s v="2021-22757"/>
    <d v="2021-08-28T00:00:00"/>
    <s v="Brewer"/>
    <s v="Saturday"/>
    <s v="12:20:00"/>
    <x v="7"/>
    <s v="None"/>
    <s v="Daylight"/>
    <s v="Rear End / Sideswipe"/>
    <s v="Four Leg Intersection"/>
    <s v="Dry"/>
    <s v="Clear"/>
    <s v="Yes"/>
    <s v="Followed Too Closely"/>
    <m/>
    <s v="No Contributing Action"/>
    <m/>
    <n v="39685"/>
    <s v="0001A"/>
    <s v="US 1A"/>
    <n v="39.08"/>
    <n v="1"/>
    <n v="23788.5"/>
    <m/>
    <s v="N"/>
    <s v="N"/>
    <s v="N"/>
    <s v="N"/>
    <s v="No"/>
    <s v="No"/>
    <n v="2"/>
    <n v="3"/>
    <n v="0"/>
    <n v="0"/>
    <n v="0"/>
    <n v="0"/>
    <n v="0"/>
    <n v="3"/>
    <s v="PD"/>
    <s v="BACTS"/>
    <n v="12"/>
    <s v="Traffic Signals (Stop &amp; Go)"/>
    <s v="Unknown"/>
    <n v="7"/>
    <s v="Penobscot"/>
    <s v="2021-22757"/>
    <s v="BREWER POLICE DEPARTMENT"/>
    <s v="21-064485"/>
    <n v="44.794701119999999"/>
    <n v="-68.766163859999992"/>
    <n v="8"/>
    <s v="August"/>
    <s v="19050"/>
    <n v="3111001"/>
    <n v="4"/>
    <s v="4 - Eastern Region"/>
    <s v="2"/>
    <s v="Urban"/>
    <s v="NODE"/>
    <n v="20065"/>
    <n v="0"/>
  </r>
  <r>
    <x v="2"/>
    <s v="2019-70514"/>
    <d v="2019-11-01T00:00:00"/>
    <s v="Brewer"/>
    <s v="Friday"/>
    <s v="18:44:00"/>
    <x v="6"/>
    <s v="None"/>
    <s v="Dark - Lighted"/>
    <s v="Rear End / Sideswipe"/>
    <s v="Four Leg Intersection"/>
    <s v="Dry"/>
    <s v="Clear"/>
    <s v="Yes"/>
    <s v="Followed Too Closely"/>
    <m/>
    <s v="No Contributing Action"/>
    <m/>
    <n v="39685"/>
    <s v="0001A"/>
    <s v="US 1A"/>
    <n v="39.08"/>
    <n v="1"/>
    <n v="23788.5"/>
    <m/>
    <s v="N"/>
    <s v="N"/>
    <s v="N"/>
    <s v="N"/>
    <s v="No"/>
    <s v="No"/>
    <n v="2"/>
    <n v="5"/>
    <n v="1"/>
    <n v="0"/>
    <n v="0"/>
    <n v="0"/>
    <n v="1"/>
    <n v="4"/>
    <s v="C"/>
    <s v="BACTS"/>
    <n v="18"/>
    <s v="Traffic Signals (Stop &amp; Go)"/>
    <s v="Unknown"/>
    <n v="6"/>
    <s v="Penobscot"/>
    <s v="2019-70514"/>
    <s v="BREWER POLICE DEPARTMENT"/>
    <s v="19-090131"/>
    <n v="44.794701119999999"/>
    <n v="-68.766163859999992"/>
    <n v="11"/>
    <s v="November"/>
    <s v="19050"/>
    <n v="3111001"/>
    <n v="4"/>
    <s v="4 - Eastern Region"/>
    <s v="2"/>
    <s v="Urban"/>
    <s v="NODE"/>
    <n v="20568"/>
    <n v="0"/>
  </r>
  <r>
    <x v="2"/>
    <s v="2023-36260"/>
    <d v="2023-11-30T00:00:00"/>
    <s v="Brewer"/>
    <s v="Thursday "/>
    <s v="17:16:00"/>
    <x v="0"/>
    <s v="None"/>
    <s v="Dusk"/>
    <s v="Rear End / Sideswipe"/>
    <s v="Four Leg Intersection"/>
    <s v="Dry"/>
    <s v="Clear"/>
    <s v="Yes"/>
    <s v="Operated Motor Vehicle in Erratic, Reckless, Careless, Negligent or Aggressive Manner"/>
    <m/>
    <s v="No Contributing Action"/>
    <m/>
    <n v="39685"/>
    <s v="0001A"/>
    <s v="US 1A"/>
    <n v="39.08"/>
    <n v="1"/>
    <n v="23788.5"/>
    <m/>
    <s v="N"/>
    <s v="N"/>
    <m/>
    <s v="N"/>
    <s v="No"/>
    <s v="No"/>
    <n v="2"/>
    <n v="2"/>
    <n v="0"/>
    <n v="0"/>
    <n v="0"/>
    <n v="0"/>
    <n v="0"/>
    <n v="2"/>
    <s v="PD"/>
    <s v="BACTS"/>
    <n v="17"/>
    <s v="Traffic Signals (Stop &amp; Go)"/>
    <s v="Unknown"/>
    <n v="5"/>
    <s v="Penobscot"/>
    <s v="2023-36260"/>
    <s v="BREWER POLICE DEPARTMENT"/>
    <s v="23-093670"/>
    <n v="44.794701119999999"/>
    <n v="-68.766163859999992"/>
    <n v="11"/>
    <s v="November"/>
    <s v="19050"/>
    <n v="3111001"/>
    <n v="4"/>
    <s v="4 - Eastern Region"/>
    <s v="2"/>
    <s v="Urban"/>
    <s v="NODE"/>
    <n v="20966"/>
    <n v="0"/>
  </r>
  <r>
    <x v="2"/>
    <s v="2023-36264"/>
    <d v="2023-12-05T00:00:00"/>
    <s v="Brewer"/>
    <s v="Tuesday  "/>
    <s v="12:48:00"/>
    <x v="0"/>
    <s v="None"/>
    <s v="Daylight"/>
    <s v="Intersection Movement"/>
    <s v="Driveways"/>
    <s v="Wet"/>
    <s v="Cloudy"/>
    <s v="Yes"/>
    <s v="Failed to Yield Right-of-Way"/>
    <m/>
    <s v="No Contributing Action"/>
    <m/>
    <n v="60190"/>
    <s v="0001A"/>
    <s v="US 1A"/>
    <n v="39.9"/>
    <n v="1"/>
    <n v="9615"/>
    <m/>
    <s v="N"/>
    <s v="N"/>
    <m/>
    <s v="N"/>
    <s v="No"/>
    <s v="No"/>
    <n v="2"/>
    <n v="2"/>
    <n v="0"/>
    <n v="0"/>
    <n v="0"/>
    <n v="0"/>
    <n v="0"/>
    <n v="2"/>
    <s v="PD"/>
    <s v="BACTS"/>
    <n v="12"/>
    <s v="Stop Signs - Other"/>
    <s v="Unknown"/>
    <n v="3"/>
    <s v="Penobscot"/>
    <s v="2023-36264"/>
    <s v="BREWER POLICE DEPARTMENT"/>
    <s v="23-094985"/>
    <n v="44.786212310000003"/>
    <n v="-68.754702559999998"/>
    <n v="12"/>
    <s v="December"/>
    <s v="19050"/>
    <n v="2071517"/>
    <n v="4"/>
    <s v="4 - Eastern Region"/>
    <s v="2"/>
    <s v="Urban"/>
    <s v="NODE"/>
    <n v="21142"/>
    <n v="0"/>
  </r>
  <r>
    <x v="2"/>
    <s v="2018-22115"/>
    <d v="2018-07-16T00:00:00"/>
    <s v="Brewer"/>
    <s v="Monday"/>
    <s v="11:02:00"/>
    <x v="2"/>
    <s v="None"/>
    <s v="Daylight"/>
    <s v="Rear End / Sideswipe"/>
    <s v="Four Leg Intersection"/>
    <s v="Dry"/>
    <s v="Clear"/>
    <s v="Yes"/>
    <s v="No Contributing Action"/>
    <m/>
    <s v="Other Contributing Action"/>
    <m/>
    <n v="39685"/>
    <s v="0001A"/>
    <s v="US 1A"/>
    <n v="39.08"/>
    <n v="1"/>
    <n v="23788.5"/>
    <m/>
    <s v="N"/>
    <s v="N"/>
    <s v="N"/>
    <s v="N"/>
    <s v="No"/>
    <s v="No"/>
    <n v="2"/>
    <n v="2"/>
    <n v="0"/>
    <n v="0"/>
    <n v="0"/>
    <n v="0"/>
    <n v="0"/>
    <n v="2"/>
    <s v="PD"/>
    <s v="BACTS"/>
    <n v="11"/>
    <s v="Traffic Signals (Stop &amp; Go)"/>
    <s v="Unknown"/>
    <n v="2"/>
    <s v="Penobscot"/>
    <s v="2018-22115"/>
    <s v="BREWER POLICE DEPARTMENT"/>
    <s v="18-055155"/>
    <n v="44.794701119999999"/>
    <n v="-68.766163859999992"/>
    <n v="7"/>
    <s v="July"/>
    <s v="19050"/>
    <n v="3111001"/>
    <n v="4"/>
    <s v="4 - Eastern Region"/>
    <s v="2"/>
    <s v="Urban"/>
    <s v="NODE"/>
    <n v="25533"/>
    <n v="0"/>
  </r>
  <r>
    <x v="2"/>
    <s v="2018-22137"/>
    <d v="2018-07-24T00:00:00"/>
    <s v="Brewer"/>
    <s v="Tuesday"/>
    <s v="18:01:00"/>
    <x v="2"/>
    <s v="None"/>
    <s v="Daylight"/>
    <s v="Rear End / Sideswipe"/>
    <s v="Straight Road"/>
    <s v="Dry"/>
    <s v="Clear"/>
    <s v="Yes"/>
    <s v="Followed Too Closely"/>
    <m/>
    <s v="No Contributing Action"/>
    <m/>
    <m/>
    <s v="0001A"/>
    <s v="US 1A"/>
    <n v="39.97"/>
    <n v="1"/>
    <n v="9197"/>
    <n v="25"/>
    <s v="N"/>
    <s v="N"/>
    <s v="N"/>
    <s v="N"/>
    <s v="No"/>
    <s v="No"/>
    <n v="3"/>
    <n v="6"/>
    <n v="1"/>
    <n v="0"/>
    <n v="0"/>
    <n v="0"/>
    <n v="1"/>
    <n v="5"/>
    <s v="C"/>
    <s v="BACTS"/>
    <n v="18"/>
    <s v="No Passing Zone"/>
    <s v="Posted"/>
    <n v="3"/>
    <s v="Penobscot"/>
    <s v="2018-22137"/>
    <s v="BREWER POLICE DEPARTMENT"/>
    <s v="18-057735"/>
    <n v="44.785444329999997"/>
    <n v="-68.753812920000001"/>
    <n v="7"/>
    <s v="July"/>
    <s v="19050"/>
    <n v="3111058"/>
    <n v="4"/>
    <s v="4 - Eastern Region"/>
    <s v="2"/>
    <s v="Urban"/>
    <s v="ELEMENT"/>
    <n v="25970"/>
    <n v="0.04"/>
  </r>
  <r>
    <x v="2"/>
    <s v="2024-7775"/>
    <d v="2024-03-21T00:00:00"/>
    <s v="Brewer"/>
    <s v="Thursday "/>
    <s v="07:07:00"/>
    <x v="4"/>
    <s v="None"/>
    <s v="Daylight"/>
    <s v="Rear End / Sideswipe"/>
    <s v="Straight Road"/>
    <s v="Snow"/>
    <s v="Snow"/>
    <s v="Yes"/>
    <s v="Drove Too Fast For Conditions"/>
    <m/>
    <s v="No Contributing Action"/>
    <m/>
    <m/>
    <s v="0009B"/>
    <s v="ST RTE 9B"/>
    <n v="9.99"/>
    <n v="2"/>
    <n v="11220"/>
    <n v="25"/>
    <s v="N"/>
    <s v="N"/>
    <m/>
    <s v="N"/>
    <s v="No"/>
    <s v="No"/>
    <n v="2"/>
    <n v="2"/>
    <n v="0"/>
    <n v="0"/>
    <n v="0"/>
    <n v="0"/>
    <n v="0"/>
    <n v="2"/>
    <s v="PD"/>
    <s v="BACTS"/>
    <n v="7"/>
    <s v="Traffic Signals (Stop &amp; Go)"/>
    <s v="Posted"/>
    <n v="5"/>
    <s v="Penobscot"/>
    <s v="2024-07775"/>
    <s v="BREWER POLICE DEPARTMENT"/>
    <s v="24-019944"/>
    <n v="44.794766989999999"/>
    <n v="-68.766021450000011"/>
    <n v="3"/>
    <s v="March"/>
    <s v="19050"/>
    <n v="3111001"/>
    <n v="4"/>
    <s v="4 - Eastern Region"/>
    <s v="2"/>
    <s v="Urban"/>
    <s v="ELEMENT"/>
    <n v="26939"/>
    <n v="0.01"/>
  </r>
  <r>
    <x v="2"/>
    <s v="2022-39235"/>
    <d v="2022-12-28T00:00:00"/>
    <s v="Brewer"/>
    <s v="Wednesday"/>
    <s v="08:03:00"/>
    <x v="3"/>
    <s v="None"/>
    <s v="Daylight"/>
    <s v="Rear End / Sideswipe"/>
    <s v="Four Leg Intersection"/>
    <s v="Dry"/>
    <s v="Clear"/>
    <m/>
    <s v="Operated Motor Vehicle in Erratic, Reckless, Careless, Negligent or Aggressive Manner"/>
    <m/>
    <s v="No Contributing Action"/>
    <m/>
    <n v="39685"/>
    <s v="0001A"/>
    <s v="US 1A"/>
    <n v="39.08"/>
    <n v="1"/>
    <n v="23788.5"/>
    <m/>
    <s v="N"/>
    <s v="N"/>
    <m/>
    <s v="N"/>
    <s v="No"/>
    <s v="No"/>
    <n v="2"/>
    <n v="2"/>
    <n v="2"/>
    <n v="0"/>
    <n v="0"/>
    <n v="0"/>
    <n v="2"/>
    <n v="0"/>
    <s v="C"/>
    <s v="BACTS"/>
    <n v="8"/>
    <s v="None"/>
    <s v="Unknown"/>
    <n v="4"/>
    <s v="Penobscot"/>
    <s v="2022-39235"/>
    <s v="BREWER POLICE DEPARTMENT"/>
    <s v="22-097231"/>
    <n v="44.794701119999999"/>
    <n v="-68.766163859999992"/>
    <n v="12"/>
    <s v="December"/>
    <s v="19050"/>
    <n v="3111001"/>
    <n v="4"/>
    <s v="4 - Eastern Region"/>
    <s v="2"/>
    <s v="Urban"/>
    <s v="NODE"/>
    <n v="32839"/>
    <n v="0"/>
  </r>
  <r>
    <x v="2"/>
    <s v="2020-25707"/>
    <d v="2020-10-22T00:00:00"/>
    <s v="Brewer"/>
    <s v="Thursday"/>
    <s v="14:40:00"/>
    <x v="5"/>
    <s v="None"/>
    <s v="Daylight"/>
    <s v="Went Off Road"/>
    <s v="Parking Lot"/>
    <s v="Dry"/>
    <s v="Clear"/>
    <s v="Yes"/>
    <s v="No Contributing Action"/>
    <m/>
    <s v="No Contributing Action"/>
    <m/>
    <m/>
    <s v="0001A"/>
    <s v="US 1A"/>
    <n v="39.86"/>
    <n v="1"/>
    <n v="9113"/>
    <n v="25"/>
    <s v="N"/>
    <s v="N"/>
    <s v="N"/>
    <s v="N"/>
    <s v="No"/>
    <s v="No"/>
    <n v="2"/>
    <n v="2"/>
    <n v="0"/>
    <n v="0"/>
    <n v="0"/>
    <n v="0"/>
    <n v="0"/>
    <n v="2"/>
    <s v="PD"/>
    <s v="BACTS"/>
    <n v="14"/>
    <s v="Traffic Signals (Stop &amp; Go)"/>
    <s v="Posted"/>
    <n v="5"/>
    <s v="Penobscot"/>
    <s v="2020-25707"/>
    <s v="BREWER POLICE DEPARTMENT"/>
    <s v="20-081977"/>
    <n v="44.78669"/>
    <n v="-68.755290000000002"/>
    <n v="10"/>
    <s v="October"/>
    <s v="19050"/>
    <n v="3129631"/>
    <n v="4"/>
    <s v="4 - Eastern Region"/>
    <s v="2"/>
    <s v="Urban"/>
    <s v="ELEMENT"/>
    <n v="38119"/>
    <n v="0.02"/>
  </r>
  <r>
    <x v="2"/>
    <s v="2023-3675"/>
    <d v="2023-01-19T00:00:00"/>
    <s v="Brewer"/>
    <s v="Thursday"/>
    <s v="07:53:00"/>
    <x v="0"/>
    <s v="None"/>
    <s v="Daylight"/>
    <s v="Rear End / Sideswipe"/>
    <s v="Three Leg Intersection"/>
    <s v="Dry"/>
    <s v="Clear"/>
    <m/>
    <s v="Followed Too Closely"/>
    <m/>
    <s v="No Contributing Action"/>
    <m/>
    <n v="39772"/>
    <s v="0001A"/>
    <s v="US 1A"/>
    <n v="39.229999999999997"/>
    <n v="1"/>
    <n v="8605.5"/>
    <m/>
    <s v="N"/>
    <s v="N"/>
    <m/>
    <s v="N"/>
    <s v="No"/>
    <s v="No"/>
    <n v="2"/>
    <n v="4"/>
    <n v="0"/>
    <n v="0"/>
    <n v="0"/>
    <n v="0"/>
    <n v="0"/>
    <n v="4"/>
    <s v="PD"/>
    <s v="BACTS"/>
    <n v="7"/>
    <s v="None"/>
    <s v="Unknown"/>
    <n v="5"/>
    <s v="Penobscot"/>
    <s v="2023-03675"/>
    <s v="BREWER POLICE DEPARTMENT"/>
    <s v="23-004427"/>
    <n v="44.79353708"/>
    <n v="-68.763670699999992"/>
    <n v="1"/>
    <s v="January"/>
    <s v="19050"/>
    <n v="220183"/>
    <n v="4"/>
    <s v="4 - Eastern Region"/>
    <s v="2"/>
    <s v="Urban"/>
    <s v="NODE"/>
    <n v="44109"/>
    <n v="0.03"/>
  </r>
  <r>
    <x v="2"/>
    <s v="2018-1968"/>
    <d v="2018-01-17T00:00:00"/>
    <s v="Brewer"/>
    <s v="Wednesday"/>
    <s v="16:15:00"/>
    <x v="2"/>
    <s v="None"/>
    <s v="Daylight"/>
    <s v="Rear End / Sideswipe"/>
    <s v="Four Leg Intersection"/>
    <s v="Snow"/>
    <s v="Snow"/>
    <s v="Yes"/>
    <s v="Drove Too Fast For Conditions"/>
    <m/>
    <s v="No Contributing Action"/>
    <m/>
    <n v="39685"/>
    <s v="0001A"/>
    <s v="US 1A"/>
    <n v="39.08"/>
    <n v="1"/>
    <n v="23788.5"/>
    <m/>
    <s v="N"/>
    <s v="N"/>
    <s v="N"/>
    <s v="N"/>
    <s v="No"/>
    <s v="No"/>
    <n v="2"/>
    <n v="3"/>
    <n v="0"/>
    <n v="0"/>
    <n v="0"/>
    <n v="0"/>
    <n v="0"/>
    <n v="3"/>
    <s v="PD"/>
    <s v="BACTS"/>
    <n v="16"/>
    <s v="Traffic Signals (Stop &amp; Go)"/>
    <s v="Unknown"/>
    <n v="4"/>
    <s v="Penobscot"/>
    <s v="2018-01968"/>
    <s v="BREWER POLICE DEPARTMENT"/>
    <s v="18-004136"/>
    <n v="44.794701119999999"/>
    <n v="-68.766163859999992"/>
    <n v="1"/>
    <s v="January"/>
    <s v="19050"/>
    <n v="3111001"/>
    <n v="4"/>
    <s v="4 - Eastern Region"/>
    <s v="2"/>
    <s v="Urban"/>
    <s v="NODE"/>
    <n v="45776"/>
    <n v="0"/>
  </r>
  <r>
    <x v="2"/>
    <s v="2022-4180"/>
    <d v="2022-01-31T00:00:00"/>
    <s v="Brewer"/>
    <s v="Monday"/>
    <s v="15:41:00"/>
    <x v="3"/>
    <s v="None"/>
    <s v="Daylight"/>
    <s v="Intersection Movement"/>
    <s v="Four Leg Intersection"/>
    <s v="Wet"/>
    <s v="Clear"/>
    <s v="Yes"/>
    <s v="Failed to Keep in Proper Lane"/>
    <m/>
    <s v="No Contributing Action"/>
    <m/>
    <n v="39685"/>
    <s v="0001A"/>
    <s v="US 1A"/>
    <n v="39.08"/>
    <n v="1"/>
    <n v="23788.5"/>
    <m/>
    <s v="N"/>
    <s v="N"/>
    <s v="N"/>
    <s v="N"/>
    <s v="No"/>
    <s v="No"/>
    <n v="2"/>
    <n v="3"/>
    <n v="2"/>
    <n v="0"/>
    <n v="0"/>
    <n v="0"/>
    <n v="2"/>
    <n v="1"/>
    <s v="C"/>
    <s v="BACTS"/>
    <n v="15"/>
    <s v="Traffic Signals (Stop &amp; Go)"/>
    <s v="Unknown"/>
    <n v="2"/>
    <s v="Penobscot"/>
    <s v="2022-04180"/>
    <s v="BREWER POLICE DEPARTMENT"/>
    <s v="22-007640"/>
    <n v="44.794701119999999"/>
    <n v="-68.766163859999992"/>
    <n v="1"/>
    <s v="January"/>
    <s v="19050"/>
    <n v="3111001"/>
    <n v="4"/>
    <s v="4 - Eastern Region"/>
    <s v="2"/>
    <s v="Urban"/>
    <s v="NODE"/>
    <n v="48159"/>
    <n v="0"/>
  </r>
  <r>
    <x v="2"/>
    <s v="2019-59571"/>
    <d v="2019-07-27T00:00:00"/>
    <s v="Brewer"/>
    <s v="Saturday"/>
    <s v="06:24:00"/>
    <x v="6"/>
    <s v="None"/>
    <s v="Daylight"/>
    <s v="Went Off Road"/>
    <s v="Three Leg Intersection"/>
    <s v="Dry"/>
    <s v="Clear"/>
    <m/>
    <s v="Failed to Keep in Proper Lane"/>
    <m/>
    <m/>
    <m/>
    <n v="60190"/>
    <s v="0001A"/>
    <s v="US 1A"/>
    <n v="39.9"/>
    <n v="1"/>
    <n v="9615"/>
    <m/>
    <s v="N"/>
    <s v="N"/>
    <s v="N"/>
    <s v="N"/>
    <s v="No"/>
    <s v="No"/>
    <n v="1"/>
    <n v="1"/>
    <n v="1"/>
    <n v="0"/>
    <n v="0"/>
    <n v="0"/>
    <n v="1"/>
    <n v="0"/>
    <s v="C"/>
    <s v="BACTS"/>
    <n v="6"/>
    <s v="None"/>
    <s v="Unknown"/>
    <n v="7"/>
    <s v="Penobscot"/>
    <s v="2019-59571"/>
    <s v="BREWER POLICE DEPARTMENT"/>
    <s v="19-059698"/>
    <n v="44.786212310000003"/>
    <n v="-68.754702559999998"/>
    <n v="7"/>
    <s v="July"/>
    <s v="19050"/>
    <n v="2071517"/>
    <n v="4"/>
    <s v="4 - Eastern Region"/>
    <s v="2"/>
    <s v="Urban"/>
    <s v="NODE"/>
    <n v="48354"/>
    <n v="0"/>
  </r>
  <r>
    <x v="2"/>
    <s v="2022-20762"/>
    <d v="2022-06-07T00:00:00"/>
    <s v="Brewer"/>
    <s v="Tuesday"/>
    <s v="17:21:00"/>
    <x v="3"/>
    <s v="None"/>
    <s v="Daylight"/>
    <s v="Rear End / Sideswipe"/>
    <s v="Four Leg Intersection"/>
    <s v="Dry"/>
    <s v="Clear"/>
    <s v="Yes"/>
    <s v="Followed Too Closely"/>
    <m/>
    <s v="No Contributing Action"/>
    <m/>
    <n v="39685"/>
    <s v="0001A"/>
    <s v="US 1A"/>
    <n v="39.08"/>
    <n v="1"/>
    <n v="23788.5"/>
    <m/>
    <s v="N"/>
    <s v="N"/>
    <s v="N"/>
    <s v="N"/>
    <s v="No"/>
    <s v="No"/>
    <n v="2"/>
    <n v="2"/>
    <n v="0"/>
    <n v="0"/>
    <n v="0"/>
    <n v="0"/>
    <n v="0"/>
    <n v="2"/>
    <s v="PD"/>
    <s v="BACTS"/>
    <n v="17"/>
    <s v="Traffic Signals (Stop &amp; Go)"/>
    <s v="Unknown"/>
    <n v="3"/>
    <s v="Penobscot"/>
    <s v="2022-20762"/>
    <s v="BREWER POLICE DEPARTMENT"/>
    <s v="22-041623"/>
    <n v="44.794701119999999"/>
    <n v="-68.766163859999992"/>
    <n v="6"/>
    <s v="June"/>
    <s v="19050"/>
    <n v="3111001"/>
    <n v="4"/>
    <s v="4 - Eastern Region"/>
    <s v="2"/>
    <s v="Urban"/>
    <s v="NODE"/>
    <n v="51537"/>
    <n v="0"/>
  </r>
  <r>
    <x v="2"/>
    <s v="2024-25041"/>
    <d v="2024-09-11T00:00:00"/>
    <s v="Brewer"/>
    <s v="Wednesday"/>
    <s v="08:41:00"/>
    <x v="4"/>
    <s v="None"/>
    <s v="Daylight"/>
    <s v="Intersection Movement"/>
    <s v="Three Leg Intersection"/>
    <s v="Dry"/>
    <s v="Clear"/>
    <m/>
    <s v="Operated Motor Vehicle in Erratic, Reckless, Careless, Negligent or Aggressive Manner"/>
    <m/>
    <s v="No Contributing Action"/>
    <m/>
    <n v="39772"/>
    <s v="0001A"/>
    <s v="US 1A"/>
    <n v="39.229999999999997"/>
    <n v="1"/>
    <n v="8605.5"/>
    <m/>
    <s v="N"/>
    <s v="N"/>
    <m/>
    <s v="Y"/>
    <s v="No"/>
    <s v="No"/>
    <n v="2"/>
    <n v="2"/>
    <n v="1"/>
    <n v="0"/>
    <n v="0"/>
    <n v="0"/>
    <n v="1"/>
    <n v="1"/>
    <s v="C"/>
    <s v="BACTS"/>
    <n v="8"/>
    <s v="None"/>
    <s v="Unknown"/>
    <n v="4"/>
    <s v="Penobscot"/>
    <s v="2024-25041"/>
    <s v="BREWER POLICE DEPARTMENT"/>
    <s v="24-068471"/>
    <n v="44.79353708"/>
    <n v="-68.763670699999992"/>
    <n v="9"/>
    <s v="September"/>
    <s v="19050"/>
    <n v="220183"/>
    <n v="4"/>
    <s v="4 - Eastern Region"/>
    <s v="2"/>
    <s v="Urban"/>
    <s v="NODE"/>
    <n v="51944"/>
    <n v="0.03"/>
  </r>
  <r>
    <x v="2"/>
    <s v="2022-13497"/>
    <d v="2022-05-14T00:00:00"/>
    <s v="Brewer"/>
    <s v="Saturday"/>
    <s v="19:24:00"/>
    <x v="3"/>
    <s v="None"/>
    <s v="Daylight"/>
    <s v="Rear End / Sideswipe"/>
    <s v="Three Leg Intersection"/>
    <s v="Dry"/>
    <s v="Clear"/>
    <s v="Yes"/>
    <s v="Followed Too Closely"/>
    <s v="Other Contributing Action"/>
    <s v="No Contributing Action"/>
    <m/>
    <n v="38309"/>
    <s v="0001A"/>
    <s v="US 1A"/>
    <n v="39.840000000000003"/>
    <n v="1"/>
    <n v="9913.5"/>
    <m/>
    <s v="N"/>
    <s v="N"/>
    <s v="N"/>
    <s v="N"/>
    <s v="No"/>
    <s v="No"/>
    <n v="2"/>
    <n v="2"/>
    <n v="1"/>
    <n v="0"/>
    <n v="0"/>
    <n v="0"/>
    <n v="1"/>
    <n v="1"/>
    <s v="C"/>
    <s v="BACTS"/>
    <n v="19"/>
    <s v="Traffic Signals (Stop &amp; Go)"/>
    <s v="Unknown"/>
    <n v="7"/>
    <s v="Penobscot"/>
    <s v="2022-13497"/>
    <s v="BREWER POLICE DEPARTMENT"/>
    <s v="22-034794"/>
    <n v="44.786902750000003"/>
    <n v="-68.75555507"/>
    <n v="5"/>
    <s v="May"/>
    <s v="19050"/>
    <n v="3115152"/>
    <n v="4"/>
    <s v="4 - Eastern Region"/>
    <s v="2"/>
    <s v="Urban"/>
    <s v="NODE"/>
    <n v="52413"/>
    <n v="0"/>
  </r>
  <r>
    <x v="2"/>
    <s v="2018-21885"/>
    <d v="2018-05-03T00:00:00"/>
    <s v="Brewer"/>
    <s v="Thursday"/>
    <s v="07:49:00"/>
    <x v="2"/>
    <s v="None"/>
    <s v="Daylight"/>
    <s v="Rear End / Sideswipe"/>
    <s v="Four Leg Intersection"/>
    <s v="Dry"/>
    <s v="Clear"/>
    <s v="Yes"/>
    <s v="Other Contributing Action"/>
    <m/>
    <s v="No Contributing Action"/>
    <m/>
    <n v="39685"/>
    <s v="0001A"/>
    <s v="US 1A"/>
    <n v="39.08"/>
    <n v="1"/>
    <n v="23788.5"/>
    <m/>
    <s v="N"/>
    <s v="N"/>
    <s v="N"/>
    <s v="N"/>
    <s v="No"/>
    <s v="No"/>
    <n v="2"/>
    <n v="2"/>
    <n v="0"/>
    <n v="0"/>
    <n v="0"/>
    <n v="0"/>
    <n v="0"/>
    <n v="2"/>
    <s v="PD"/>
    <s v="BACTS"/>
    <n v="7"/>
    <s v="Traffic Signals (Stop &amp; Go)"/>
    <s v="Unknown"/>
    <n v="5"/>
    <s v="Penobscot"/>
    <s v="2018-21885"/>
    <s v="BREWER POLICE DEPARTMENT"/>
    <s v="18-032563"/>
    <n v="44.794701119999999"/>
    <n v="-68.766163859999992"/>
    <n v="5"/>
    <s v="May"/>
    <s v="19050"/>
    <n v="3111001"/>
    <n v="4"/>
    <s v="4 - Eastern Region"/>
    <s v="2"/>
    <s v="Urban"/>
    <s v="NODE"/>
    <n v="53062"/>
    <n v="0"/>
  </r>
  <r>
    <x v="2"/>
    <s v="2018-5494"/>
    <d v="2018-02-13T00:00:00"/>
    <s v="Brewer"/>
    <s v="Tuesday"/>
    <s v="14:22:00"/>
    <x v="2"/>
    <s v="None"/>
    <s v="Daylight"/>
    <s v="Rear End / Sideswipe"/>
    <s v="Three Leg Intersection"/>
    <s v="Dry"/>
    <s v="Clear"/>
    <m/>
    <s v="Followed Too Closely"/>
    <m/>
    <s v="No Contributing Action"/>
    <m/>
    <n v="39767"/>
    <s v="0001A"/>
    <s v="US 1A"/>
    <n v="39.58"/>
    <n v="1"/>
    <n v="9501"/>
    <m/>
    <s v="N"/>
    <s v="N"/>
    <s v="N"/>
    <s v="N"/>
    <s v="No"/>
    <s v="No"/>
    <n v="2"/>
    <n v="3"/>
    <n v="0"/>
    <n v="0"/>
    <n v="0"/>
    <n v="0"/>
    <n v="0"/>
    <n v="3"/>
    <s v="PD"/>
    <s v="BACTS"/>
    <n v="14"/>
    <s v="None"/>
    <s v="Unknown"/>
    <n v="3"/>
    <s v="Penobscot"/>
    <s v="2018-05494"/>
    <s v="BREWER POLICE DEPARTMENT"/>
    <s v="18-011149"/>
    <n v="44.789710000000007"/>
    <n v="-68.759029999999996"/>
    <n v="2"/>
    <s v="February"/>
    <s v="19050"/>
    <n v="3124231"/>
    <n v="4"/>
    <s v="4 - Eastern Region"/>
    <s v="2"/>
    <s v="Urban"/>
    <s v="NODE"/>
    <n v="55428"/>
    <n v="0"/>
  </r>
  <r>
    <x v="2"/>
    <s v="2019-62636"/>
    <d v="2019-08-21T00:00:00"/>
    <s v="Brewer"/>
    <s v="Wednesday"/>
    <s v="16:08:00"/>
    <x v="6"/>
    <s v="None"/>
    <s v="Daylight"/>
    <s v="Rear End / Sideswipe"/>
    <s v="Four Leg Intersection"/>
    <s v="Dry"/>
    <s v="Clear"/>
    <s v="Yes"/>
    <s v="Followed Too Closely"/>
    <m/>
    <s v="No Contributing Action"/>
    <m/>
    <n v="39685"/>
    <s v="0001A"/>
    <s v="US 1A"/>
    <n v="39.08"/>
    <n v="1"/>
    <n v="23788.5"/>
    <m/>
    <s v="N"/>
    <s v="N"/>
    <s v="N"/>
    <s v="N"/>
    <s v="No"/>
    <s v="No"/>
    <n v="2"/>
    <n v="7"/>
    <n v="0"/>
    <n v="0"/>
    <n v="0"/>
    <n v="0"/>
    <n v="0"/>
    <n v="7"/>
    <s v="PD"/>
    <s v="BACTS"/>
    <n v="16"/>
    <s v="Traffic Signals (Stop &amp; Go)"/>
    <s v="Unknown"/>
    <n v="4"/>
    <s v="Penobscot"/>
    <s v="2019-62636"/>
    <s v="BREWER POLICE DEPARTMENT"/>
    <s v="19-067635"/>
    <n v="44.794701119999999"/>
    <n v="-68.766163859999992"/>
    <n v="8"/>
    <s v="August"/>
    <s v="19050"/>
    <n v="3111001"/>
    <n v="4"/>
    <s v="4 - Eastern Region"/>
    <s v="2"/>
    <s v="Urban"/>
    <s v="NODE"/>
    <n v="58311"/>
    <n v="0"/>
  </r>
  <r>
    <x v="2"/>
    <s v="2023-30868"/>
    <d v="2023-10-19T00:00:00"/>
    <s v="Brewer"/>
    <s v="Thursday "/>
    <s v="16:32:00"/>
    <x v="0"/>
    <s v="None"/>
    <s v="Daylight"/>
    <s v="Rear End / Sideswipe"/>
    <s v="Three Leg Intersection"/>
    <s v="Dry"/>
    <s v="Clear"/>
    <s v="Yes"/>
    <s v="Followed Too Closely"/>
    <m/>
    <s v="No Contributing Action"/>
    <m/>
    <n v="38309"/>
    <s v="0001A"/>
    <s v="US 1A"/>
    <n v="39.840000000000003"/>
    <n v="1"/>
    <n v="9913.5"/>
    <m/>
    <s v="N"/>
    <s v="N"/>
    <m/>
    <s v="N"/>
    <s v="No"/>
    <s v="No"/>
    <n v="2"/>
    <n v="2"/>
    <n v="0"/>
    <n v="0"/>
    <n v="0"/>
    <n v="0"/>
    <n v="0"/>
    <n v="2"/>
    <s v="PD"/>
    <s v="BACTS"/>
    <n v="16"/>
    <s v="Traffic Signals (Stop &amp; Go)"/>
    <s v="Unknown"/>
    <n v="5"/>
    <s v="Penobscot"/>
    <s v="2023-30868"/>
    <s v="BREWER POLICE DEPARTMENT"/>
    <s v="23-082255"/>
    <n v="44.786902750000003"/>
    <n v="-68.75555507"/>
    <n v="10"/>
    <s v="October"/>
    <s v="19050"/>
    <n v="3115152"/>
    <n v="4"/>
    <s v="4 - Eastern Region"/>
    <s v="2"/>
    <s v="Urban"/>
    <s v="NODE"/>
    <n v="61356"/>
    <n v="0"/>
  </r>
  <r>
    <x v="2"/>
    <s v="2019-65968"/>
    <d v="2019-09-26T00:00:00"/>
    <s v="Brewer"/>
    <s v="Thursday"/>
    <s v="18:20:00"/>
    <x v="6"/>
    <s v="None"/>
    <s v="Dark - Lighted"/>
    <s v="Intersection Movement"/>
    <s v="Four Leg Intersection"/>
    <s v="Wet"/>
    <s v="Rain"/>
    <s v="Yes"/>
    <s v="Failed to Yield Right-of-Way"/>
    <m/>
    <s v="No Contributing Action"/>
    <m/>
    <n v="39685"/>
    <s v="0001A"/>
    <s v="US 1A"/>
    <n v="39.08"/>
    <n v="1"/>
    <n v="23788.5"/>
    <m/>
    <s v="N"/>
    <s v="N"/>
    <s v="N"/>
    <s v="N"/>
    <s v="No"/>
    <s v="No"/>
    <n v="2"/>
    <n v="4"/>
    <n v="0"/>
    <n v="0"/>
    <n v="0"/>
    <n v="0"/>
    <n v="0"/>
    <n v="4"/>
    <s v="PD"/>
    <s v="BACTS"/>
    <n v="18"/>
    <s v="Traffic Signals (Stop &amp; Go)"/>
    <s v="Unknown"/>
    <n v="5"/>
    <s v="Penobscot"/>
    <s v="2019-65968"/>
    <s v="BREWER POLICE DEPARTMENT"/>
    <s v="19-079276"/>
    <n v="44.794699999999999"/>
    <n v="-68.766159999999999"/>
    <n v="9"/>
    <s v="September"/>
    <s v="19050"/>
    <n v="3111001"/>
    <n v="4"/>
    <s v="4 - Eastern Region"/>
    <s v="2"/>
    <s v="Urban"/>
    <s v="NODE"/>
    <n v="65148"/>
    <n v="0"/>
  </r>
  <r>
    <x v="2"/>
    <s v="2019-65496"/>
    <d v="2019-09-18T00:00:00"/>
    <s v="Brewer"/>
    <s v="Wednesday"/>
    <s v="18:02:00"/>
    <x v="6"/>
    <s v="None"/>
    <s v="Daylight"/>
    <s v="Intersection Movement"/>
    <s v="Driveways"/>
    <s v="Dry"/>
    <s v="Clear"/>
    <m/>
    <s v="Failed to Yield Right-of-Way"/>
    <m/>
    <s v="No Contributing Action"/>
    <m/>
    <m/>
    <s v="0001A"/>
    <s v="US 1A"/>
    <n v="40.01"/>
    <n v="1"/>
    <n v="4809"/>
    <n v="25"/>
    <s v="N"/>
    <s v="N"/>
    <s v="N"/>
    <s v="N"/>
    <s v="No"/>
    <s v="No"/>
    <n v="2"/>
    <n v="2"/>
    <n v="0"/>
    <n v="0"/>
    <n v="0"/>
    <n v="0"/>
    <n v="0"/>
    <n v="2"/>
    <s v="PD"/>
    <s v="BACTS"/>
    <n v="18"/>
    <s v="None"/>
    <s v="Posted"/>
    <n v="4"/>
    <s v="Penobscot"/>
    <s v="2019-65496"/>
    <s v="BREWER POLICE DEPARTMENT"/>
    <s v="19-076678"/>
    <n v="44.784970000000001"/>
    <n v="-68.753200000000007"/>
    <n v="9"/>
    <s v="September"/>
    <s v="19050"/>
    <n v="3111057"/>
    <n v="4"/>
    <s v="4 - Eastern Region"/>
    <s v="2"/>
    <s v="Urban"/>
    <s v="ELEMENT"/>
    <n v="66970"/>
    <n v="0.01"/>
  </r>
  <r>
    <x v="2"/>
    <s v="2018-21951"/>
    <d v="2018-05-25T00:00:00"/>
    <s v="Brewer"/>
    <s v="Friday"/>
    <s v="09:30:00"/>
    <x v="2"/>
    <s v="None"/>
    <s v="Daylight"/>
    <s v="Intersection Movement"/>
    <s v="Three Leg Intersection"/>
    <s v="Dry"/>
    <s v="Cloudy"/>
    <s v="Yes"/>
    <s v="Failed to Yield Right-of-Way"/>
    <m/>
    <s v="No Contributing Action"/>
    <m/>
    <n v="39767"/>
    <s v="0001A"/>
    <s v="US 1A"/>
    <n v="39.58"/>
    <n v="1"/>
    <n v="9501"/>
    <m/>
    <s v="N"/>
    <s v="N"/>
    <s v="N"/>
    <s v="N"/>
    <s v="No"/>
    <s v="No"/>
    <n v="2"/>
    <n v="3"/>
    <n v="0"/>
    <n v="0"/>
    <n v="0"/>
    <n v="0"/>
    <n v="0"/>
    <n v="3"/>
    <s v="PD"/>
    <s v="BACTS"/>
    <n v="9"/>
    <s v="Stop Signs - Other"/>
    <s v="Unknown"/>
    <n v="6"/>
    <s v="Penobscot"/>
    <s v="2018-21951"/>
    <s v="BREWER POLICE DEPARTMENT"/>
    <s v="18-039060"/>
    <n v="44.789710600000006"/>
    <n v="-68.759029339999998"/>
    <n v="5"/>
    <s v="May"/>
    <s v="19050"/>
    <n v="3124231"/>
    <n v="4"/>
    <s v="4 - Eastern Region"/>
    <s v="2"/>
    <s v="Urban"/>
    <s v="NODE"/>
    <n v="68975"/>
    <n v="0"/>
  </r>
  <r>
    <x v="2"/>
    <s v="2018-6462"/>
    <d v="2018-02-20T00:00:00"/>
    <s v="Brewer"/>
    <s v="Tuesday"/>
    <s v="15:20:00"/>
    <x v="2"/>
    <s v="None"/>
    <s v="Daylight"/>
    <s v="Rear End / Sideswipe"/>
    <s v="Four Leg Intersection"/>
    <s v="Dry"/>
    <s v="Clear"/>
    <s v="Yes"/>
    <s v="Followed Too Closely"/>
    <m/>
    <s v="No Contributing Action"/>
    <m/>
    <n v="39685"/>
    <s v="0001A"/>
    <s v="US 1A"/>
    <n v="39.08"/>
    <n v="1"/>
    <n v="23788.5"/>
    <m/>
    <s v="N"/>
    <s v="N"/>
    <s v="N"/>
    <s v="N"/>
    <s v="No"/>
    <s v="No"/>
    <n v="2"/>
    <n v="2"/>
    <n v="1"/>
    <n v="0"/>
    <n v="0"/>
    <n v="0"/>
    <n v="1"/>
    <n v="1"/>
    <s v="C"/>
    <s v="BACTS"/>
    <n v="15"/>
    <s v="Traffic Signals (Stop &amp; Go)"/>
    <s v="Unknown"/>
    <n v="3"/>
    <s v="Penobscot"/>
    <s v="2018-06462"/>
    <s v="BREWER POLICE DEPARTMENT"/>
    <s v="18-012957"/>
    <n v="44.794701119999999"/>
    <n v="-68.766163859999992"/>
    <n v="2"/>
    <s v="February"/>
    <s v="19050"/>
    <n v="3111001"/>
    <n v="4"/>
    <s v="4 - Eastern Region"/>
    <s v="2"/>
    <s v="Urban"/>
    <s v="NODE"/>
    <n v="69316"/>
    <n v="0"/>
  </r>
  <r>
    <x v="2"/>
    <s v="2024-26335"/>
    <d v="2024-09-17T00:00:00"/>
    <s v="Brewer"/>
    <s v="Tuesday  "/>
    <s v="16:09:00"/>
    <x v="4"/>
    <s v="None"/>
    <s v="Daylight"/>
    <s v="Rear End / Sideswipe"/>
    <s v="Four Leg Intersection"/>
    <s v="Dry"/>
    <s v="Clear"/>
    <s v="Yes"/>
    <s v="Other Contributing Action"/>
    <m/>
    <s v="No Contributing Action"/>
    <m/>
    <n v="39685"/>
    <s v="0001A"/>
    <s v="US 1A"/>
    <n v="39.08"/>
    <n v="1"/>
    <n v="23788.5"/>
    <m/>
    <s v="N"/>
    <s v="N"/>
    <m/>
    <s v="Y"/>
    <s v="No"/>
    <s v="Yes"/>
    <n v="3"/>
    <n v="4"/>
    <n v="1"/>
    <n v="0"/>
    <n v="0"/>
    <n v="0"/>
    <n v="1"/>
    <n v="3"/>
    <s v="C"/>
    <s v="BACTS"/>
    <n v="16"/>
    <s v="Traffic Signals (Stop &amp; Go)"/>
    <s v="Unknown"/>
    <n v="3"/>
    <s v="Penobscot"/>
    <s v="2024-26335"/>
    <s v="BREWER POLICE DEPARTMENT"/>
    <s v="24-070397"/>
    <n v="44.794701119999999"/>
    <n v="-68.766163859999992"/>
    <n v="9"/>
    <s v="September"/>
    <s v="19050"/>
    <n v="3111001"/>
    <n v="4"/>
    <s v="4 - Eastern Region"/>
    <s v="2"/>
    <s v="Urban"/>
    <s v="NODE"/>
    <n v="71335"/>
    <n v="0"/>
  </r>
  <r>
    <x v="2"/>
    <s v="2018-6993"/>
    <d v="2018-02-27T00:00:00"/>
    <s v="Brewer"/>
    <s v="Tuesday"/>
    <s v="08:07:00"/>
    <x v="2"/>
    <s v="None"/>
    <s v="Daylight"/>
    <s v="Intersection Movement"/>
    <s v="Three Leg Intersection"/>
    <s v="Dry"/>
    <s v="Clear"/>
    <s v="Yes"/>
    <s v="Failed to Yield Right-of-Way"/>
    <m/>
    <s v="No Contributing Action"/>
    <m/>
    <n v="60190"/>
    <s v="0001A"/>
    <s v="US 1A"/>
    <n v="39.9"/>
    <n v="1"/>
    <n v="9615"/>
    <m/>
    <s v="N"/>
    <s v="N"/>
    <s v="N"/>
    <s v="N"/>
    <s v="No"/>
    <s v="No"/>
    <n v="2"/>
    <n v="2"/>
    <n v="0"/>
    <n v="0"/>
    <n v="0"/>
    <n v="0"/>
    <n v="0"/>
    <n v="2"/>
    <s v="PD"/>
    <s v="BACTS"/>
    <n v="8"/>
    <s v="Stop Signs - Other"/>
    <s v="Unknown"/>
    <n v="3"/>
    <s v="Penobscot"/>
    <s v="2018-06993"/>
    <s v="BREWER POLICE DEPARTMENT"/>
    <s v="18-014682"/>
    <n v="44.786212319999997"/>
    <n v="-68.754702550000005"/>
    <n v="2"/>
    <s v="February"/>
    <s v="19050"/>
    <n v="2071517"/>
    <n v="4"/>
    <s v="4 - Eastern Region"/>
    <s v="2"/>
    <s v="Urban"/>
    <s v="NODE"/>
    <n v="72586"/>
    <n v="0"/>
  </r>
  <r>
    <x v="2"/>
    <s v="2018-8862"/>
    <d v="2018-02-20T00:00:00"/>
    <s v="Brewer"/>
    <s v="Tuesday"/>
    <s v="17:42:00"/>
    <x v="2"/>
    <s v="None"/>
    <s v="Dark - Lighted"/>
    <s v="Intersection Movement"/>
    <s v="Four Leg Intersection"/>
    <s v="Dry"/>
    <s v="Cloudy"/>
    <s v="Yes"/>
    <s v="Operated Motor Vehicle in Erratic, Reckless, Careless, Negligent or Aggressive Manner"/>
    <m/>
    <s v="No Contributing Action"/>
    <m/>
    <n v="39685"/>
    <s v="0001A"/>
    <s v="US 1A"/>
    <n v="39.08"/>
    <n v="1"/>
    <n v="23788.5"/>
    <m/>
    <s v="N"/>
    <s v="N"/>
    <s v="N"/>
    <s v="N"/>
    <s v="No"/>
    <s v="No"/>
    <n v="2"/>
    <n v="3"/>
    <n v="3"/>
    <n v="0"/>
    <n v="0"/>
    <n v="0"/>
    <n v="3"/>
    <n v="0"/>
    <s v="C"/>
    <s v="BACTS"/>
    <n v="17"/>
    <s v="Traffic Signals (Stop &amp; Go)"/>
    <s v="Unknown"/>
    <n v="3"/>
    <s v="Penobscot"/>
    <s v="2018-08862"/>
    <s v="BREWER POLICE DEPARTMENT"/>
    <s v="18-012998"/>
    <n v="44.794701119999999"/>
    <n v="-68.766163859999992"/>
    <n v="2"/>
    <s v="February"/>
    <s v="19050"/>
    <n v="3111001"/>
    <n v="4"/>
    <s v="4 - Eastern Region"/>
    <s v="2"/>
    <s v="Urban"/>
    <s v="NODE"/>
    <n v="72698"/>
    <n v="0"/>
  </r>
  <r>
    <x v="2"/>
    <s v="2024-25254"/>
    <d v="2024-09-13T00:00:00"/>
    <s v="Brewer"/>
    <s v="Friday   "/>
    <s v="07:38:00"/>
    <x v="4"/>
    <s v="None"/>
    <s v="Daylight"/>
    <s v="Intersection Movement"/>
    <s v="Four Leg Intersection"/>
    <s v="Dry"/>
    <s v="Clear"/>
    <s v="Yes"/>
    <s v="Failed to Yield Right-of-Way"/>
    <m/>
    <s v="No Contributing Action"/>
    <m/>
    <n v="39685"/>
    <s v="0001A"/>
    <s v="US 1A"/>
    <n v="39.08"/>
    <n v="1"/>
    <n v="23788.5"/>
    <m/>
    <s v="N"/>
    <s v="N"/>
    <m/>
    <s v="N"/>
    <s v="No"/>
    <s v="No"/>
    <n v="2"/>
    <n v="2"/>
    <n v="0"/>
    <n v="0"/>
    <n v="0"/>
    <n v="0"/>
    <n v="0"/>
    <n v="2"/>
    <s v="PD"/>
    <s v="BACTS"/>
    <n v="7"/>
    <s v="Traffic Signals (Stop &amp; Go)"/>
    <s v="Unknown"/>
    <n v="6"/>
    <s v="Penobscot"/>
    <s v="2024-25254"/>
    <s v="BREWER POLICE DEPARTMENT"/>
    <s v="24-069082"/>
    <n v="44.794701119999999"/>
    <n v="-68.766163859999992"/>
    <n v="9"/>
    <s v="September"/>
    <s v="19050"/>
    <n v="3111001"/>
    <n v="4"/>
    <s v="4 - Eastern Region"/>
    <s v="2"/>
    <s v="Urban"/>
    <s v="NODE"/>
    <n v="74538"/>
    <n v="0"/>
  </r>
  <r>
    <x v="2"/>
    <s v="2021-11485"/>
    <d v="2021-05-14T00:00:00"/>
    <s v="Brewer"/>
    <s v="Friday"/>
    <s v="12:15:00"/>
    <x v="7"/>
    <s v="None"/>
    <s v="Daylight"/>
    <s v="Rear End / Sideswipe"/>
    <s v="Four Leg Intersection"/>
    <s v="Dry"/>
    <s v="Clear"/>
    <s v="Yes"/>
    <s v="No Contributing Action"/>
    <m/>
    <s v="No Contributing Action"/>
    <m/>
    <n v="39685"/>
    <s v="0001A"/>
    <s v="US 1A"/>
    <n v="39.08"/>
    <n v="1"/>
    <n v="23788.5"/>
    <m/>
    <s v="N"/>
    <s v="N"/>
    <s v="N"/>
    <s v="N"/>
    <s v="No"/>
    <s v="No"/>
    <n v="2"/>
    <n v="3"/>
    <n v="0"/>
    <n v="0"/>
    <n v="0"/>
    <n v="0"/>
    <n v="0"/>
    <n v="3"/>
    <s v="PD"/>
    <s v="BACTS"/>
    <n v="12"/>
    <s v="Traffic Signals (Stop &amp; Go)"/>
    <s v="Unknown"/>
    <n v="6"/>
    <s v="Penobscot"/>
    <s v="2021-11485"/>
    <s v="BREWER POLICE DEPARTMENT"/>
    <s v="21-033301"/>
    <n v="44.794701119999999"/>
    <n v="-68.766163859999992"/>
    <n v="5"/>
    <s v="May"/>
    <s v="19050"/>
    <n v="3111001"/>
    <n v="4"/>
    <s v="4 - Eastern Region"/>
    <s v="2"/>
    <s v="Urban"/>
    <s v="NODE"/>
    <n v="79102"/>
    <n v="0"/>
  </r>
  <r>
    <x v="2"/>
    <s v="2019-1516"/>
    <d v="2019-01-14T00:00:00"/>
    <s v="Brewer"/>
    <s v="Monday"/>
    <s v="12:35:00"/>
    <x v="6"/>
    <s v="None"/>
    <s v="Daylight"/>
    <s v="Intersection Movement"/>
    <s v="Four Leg Intersection"/>
    <s v="Dry"/>
    <s v="Clear"/>
    <s v="Yes"/>
    <s v="Failed to Yield Right-of-Way"/>
    <s v="No Contributing Action"/>
    <s v="No Contributing Action"/>
    <m/>
    <n v="39685"/>
    <s v="0001A"/>
    <s v="US 1A"/>
    <n v="39.08"/>
    <n v="1"/>
    <n v="23788.5"/>
    <m/>
    <s v="N"/>
    <s v="N"/>
    <s v="N"/>
    <s v="N"/>
    <s v="No"/>
    <s v="No"/>
    <n v="2"/>
    <n v="4"/>
    <n v="0"/>
    <n v="0"/>
    <n v="0"/>
    <n v="0"/>
    <n v="0"/>
    <n v="4"/>
    <s v="PD"/>
    <s v="BACTS"/>
    <n v="12"/>
    <s v="Traffic Signals (Stop &amp; Go)"/>
    <s v="Unknown"/>
    <n v="2"/>
    <s v="Penobscot"/>
    <s v="2019-01516"/>
    <s v="BREWER POLICE DEPARTMENT"/>
    <s v="19-003451"/>
    <n v="44.794701119999999"/>
    <n v="-68.766163859999992"/>
    <n v="1"/>
    <s v="January"/>
    <s v="19050"/>
    <n v="3111001"/>
    <n v="4"/>
    <s v="4 - Eastern Region"/>
    <s v="2"/>
    <s v="Urban"/>
    <s v="NODE"/>
    <n v="81744"/>
    <n v="0"/>
  </r>
  <r>
    <x v="2"/>
    <s v="2018-41478"/>
    <d v="2018-12-12T00:00:00"/>
    <s v="Brewer"/>
    <s v="Wednesday"/>
    <s v="11:00:00"/>
    <x v="2"/>
    <s v="None"/>
    <s v="Daylight"/>
    <s v="Rear End / Sideswipe"/>
    <s v="Four Leg Intersection"/>
    <s v="Dry"/>
    <s v="Clear"/>
    <s v="Yes"/>
    <s v="Followed Too Closely"/>
    <s v="No Contributing Action"/>
    <s v="No Contributing Action"/>
    <m/>
    <n v="39685"/>
    <s v="0001A"/>
    <s v="US 1A"/>
    <n v="39.08"/>
    <n v="1"/>
    <n v="23788.5"/>
    <m/>
    <s v="N"/>
    <s v="N"/>
    <s v="N"/>
    <s v="N"/>
    <s v="No"/>
    <s v="No"/>
    <n v="2"/>
    <n v="2"/>
    <n v="0"/>
    <n v="0"/>
    <n v="0"/>
    <n v="0"/>
    <n v="0"/>
    <n v="2"/>
    <s v="PD"/>
    <s v="BACTS"/>
    <n v="11"/>
    <s v="Traffic Signals (Stop &amp; Go)"/>
    <s v="Unknown"/>
    <n v="4"/>
    <s v="Penobscot"/>
    <s v="2018-41478"/>
    <s v="BREWER POLICE DEPARTMENT"/>
    <s v="18-099455"/>
    <n v="44.794710309999999"/>
    <n v="-68.766163829999996"/>
    <n v="12"/>
    <s v="December"/>
    <s v="19050"/>
    <n v="3111001"/>
    <n v="4"/>
    <s v="4 - Eastern Region"/>
    <s v="2"/>
    <s v="Urban"/>
    <s v="NODE"/>
    <n v="81878"/>
    <n v="0"/>
  </r>
  <r>
    <x v="2"/>
    <s v="2024-9036"/>
    <d v="2024-03-29T00:00:00"/>
    <s v="Brewer"/>
    <s v="Friday   "/>
    <s v="13:39:00"/>
    <x v="4"/>
    <s v="None"/>
    <s v="Daylight"/>
    <s v="Intersection Movement"/>
    <s v="Three Leg Intersection"/>
    <s v="Wet"/>
    <s v="Rain"/>
    <s v="Yes"/>
    <s v="Unknown"/>
    <m/>
    <s v="Unknown"/>
    <m/>
    <n v="38309"/>
    <s v="0001A"/>
    <s v="US 1A"/>
    <n v="39.840000000000003"/>
    <n v="1"/>
    <n v="9913.5"/>
    <m/>
    <s v="N"/>
    <s v="N"/>
    <m/>
    <s v="N"/>
    <s v="No"/>
    <s v="No"/>
    <n v="2"/>
    <n v="5"/>
    <n v="0"/>
    <n v="0"/>
    <n v="0"/>
    <n v="0"/>
    <n v="0"/>
    <n v="5"/>
    <s v="PD"/>
    <s v="BACTS"/>
    <n v="13"/>
    <s v="Traffic Signals (Stop &amp; Go)"/>
    <s v="Unknown"/>
    <n v="6"/>
    <s v="Penobscot"/>
    <s v="2024-09036"/>
    <s v="BREWER POLICE DEPARTMENT"/>
    <s v="24-021940"/>
    <n v="44.786902750000003"/>
    <n v="-68.75555507"/>
    <n v="3"/>
    <s v="March"/>
    <s v="19050"/>
    <n v="3115152"/>
    <n v="4"/>
    <s v="4 - Eastern Region"/>
    <s v="2"/>
    <s v="Urban"/>
    <s v="NODE"/>
    <n v="84418"/>
    <n v="0"/>
  </r>
  <r>
    <x v="2"/>
    <s v="2021-22753"/>
    <d v="2021-08-05T00:00:00"/>
    <s v="Brewer"/>
    <s v="Thursday"/>
    <s v="16:21:00"/>
    <x v="7"/>
    <s v="None"/>
    <s v="Daylight"/>
    <s v="Rear End / Sideswipe"/>
    <s v="Four Leg Intersection"/>
    <s v="Wet"/>
    <s v="Rain"/>
    <s v="Yes"/>
    <s v="Followed Too Closely"/>
    <m/>
    <s v="No Contributing Action"/>
    <m/>
    <n v="39685"/>
    <s v="0001A"/>
    <s v="US 1A"/>
    <n v="39.08"/>
    <n v="1"/>
    <n v="23788.5"/>
    <m/>
    <s v="N"/>
    <s v="N"/>
    <s v="N"/>
    <s v="N"/>
    <s v="No"/>
    <s v="No"/>
    <n v="2"/>
    <n v="3"/>
    <n v="0"/>
    <n v="0"/>
    <n v="0"/>
    <n v="0"/>
    <n v="0"/>
    <n v="3"/>
    <s v="PD"/>
    <s v="BACTS"/>
    <n v="16"/>
    <s v="Traffic Signals (Stop &amp; Go)"/>
    <s v="Unknown"/>
    <n v="5"/>
    <s v="Penobscot"/>
    <s v="2021-22753"/>
    <s v="BREWER POLICE DEPARTMENT"/>
    <s v="21-057752"/>
    <n v="44.794701119999999"/>
    <n v="-68.766163859999992"/>
    <n v="8"/>
    <s v="August"/>
    <s v="19050"/>
    <n v="3111001"/>
    <n v="4"/>
    <s v="4 - Eastern Region"/>
    <s v="2"/>
    <s v="Urban"/>
    <s v="NODE"/>
    <n v="84576"/>
    <n v="0"/>
  </r>
  <r>
    <x v="2"/>
    <s v="2019-51612"/>
    <d v="2019-05-14T00:00:00"/>
    <s v="Brewer"/>
    <s v="Tuesday"/>
    <s v="17:51:00"/>
    <x v="6"/>
    <s v="None"/>
    <s v="Daylight"/>
    <s v="Intersection Movement"/>
    <s v="Three Leg Intersection"/>
    <s v="Wet"/>
    <s v="Clear"/>
    <m/>
    <s v="Failed to Yield Right-of-Way"/>
    <m/>
    <s v="No Contributing Action"/>
    <m/>
    <n v="60190"/>
    <s v="0001A"/>
    <s v="US 1A"/>
    <n v="39.9"/>
    <n v="1"/>
    <n v="9615"/>
    <m/>
    <s v="N"/>
    <s v="N"/>
    <s v="N"/>
    <s v="N"/>
    <s v="No"/>
    <s v="No"/>
    <n v="2"/>
    <n v="2"/>
    <n v="0"/>
    <n v="0"/>
    <n v="0"/>
    <n v="0"/>
    <n v="0"/>
    <n v="2"/>
    <s v="PD"/>
    <s v="BACTS"/>
    <n v="17"/>
    <s v="None"/>
    <s v="Unknown"/>
    <n v="3"/>
    <s v="Penobscot"/>
    <s v="2019-51612"/>
    <s v="BREWER POLICE DEPARTMENT"/>
    <s v="19-036400"/>
    <n v="44.786212310000003"/>
    <n v="-68.754702559999998"/>
    <n v="5"/>
    <s v="May"/>
    <s v="19050"/>
    <n v="2071517"/>
    <n v="4"/>
    <s v="4 - Eastern Region"/>
    <s v="2"/>
    <s v="Urban"/>
    <s v="NODE"/>
    <n v="85474"/>
    <n v="0"/>
  </r>
  <r>
    <x v="2"/>
    <s v="2019-50761"/>
    <d v="2019-05-05T00:00:00"/>
    <s v="Brewer"/>
    <s v="Sunday"/>
    <s v="18:37:00"/>
    <x v="6"/>
    <s v="None"/>
    <s v="Daylight"/>
    <s v="Intersection Movement"/>
    <s v="Driveways"/>
    <s v="Dry"/>
    <s v="Clear"/>
    <m/>
    <s v="Improper Turn"/>
    <m/>
    <s v="No Contributing Action"/>
    <m/>
    <m/>
    <s v="0015B"/>
    <s v="ST RTE 15B"/>
    <n v="0.70000000000000007"/>
    <n v="2"/>
    <n v="12893"/>
    <n v="25"/>
    <s v="N"/>
    <s v="N"/>
    <s v="N"/>
    <s v="N"/>
    <s v="No"/>
    <s v="No"/>
    <n v="2"/>
    <n v="3"/>
    <n v="0"/>
    <n v="0"/>
    <n v="0"/>
    <n v="0"/>
    <n v="0"/>
    <n v="3"/>
    <s v="PD"/>
    <s v="BACTS"/>
    <n v="18"/>
    <s v="None"/>
    <s v="Unposted"/>
    <n v="1"/>
    <s v="Penobscot"/>
    <s v="2019-50761"/>
    <s v="BREWER POLICE DEPARTMENT"/>
    <s v="19-033707"/>
    <n v="44.794430000000013"/>
    <n v="-68.766390000000001"/>
    <n v="5"/>
    <s v="May"/>
    <s v="19050"/>
    <n v="3111000"/>
    <n v="4"/>
    <s v="4 - Eastern Region"/>
    <s v="2"/>
    <s v="Urban"/>
    <s v="ELEMENT"/>
    <n v="85508"/>
    <n v="0.06"/>
  </r>
  <r>
    <x v="2"/>
    <s v="2019-48447"/>
    <d v="2019-04-09T00:00:00"/>
    <s v="Brewer"/>
    <s v="Tuesday"/>
    <s v="18:56:00"/>
    <x v="6"/>
    <s v="None"/>
    <s v="Daylight"/>
    <s v="Rear End / Sideswipe"/>
    <s v="Four Leg Intersection"/>
    <s v="Snow"/>
    <s v="Snow"/>
    <s v="Yes"/>
    <s v="Followed Too Closely"/>
    <m/>
    <s v="No Contributing Action"/>
    <m/>
    <n v="39685"/>
    <s v="0001A"/>
    <s v="US 1A"/>
    <n v="39.08"/>
    <n v="1"/>
    <n v="23788.5"/>
    <m/>
    <s v="N"/>
    <s v="N"/>
    <s v="N"/>
    <s v="N"/>
    <s v="No"/>
    <s v="No"/>
    <n v="2"/>
    <n v="3"/>
    <n v="0"/>
    <n v="0"/>
    <n v="0"/>
    <n v="0"/>
    <n v="0"/>
    <n v="3"/>
    <s v="PD"/>
    <s v="BACTS"/>
    <n v="18"/>
    <s v="Traffic Signals (Stop &amp; Go)"/>
    <s v="Unknown"/>
    <n v="3"/>
    <s v="Penobscot"/>
    <s v="2019-48447"/>
    <s v="BREWER POLICE DEPARTMENT"/>
    <s v="19-026237"/>
    <n v="44.794701119999999"/>
    <n v="-68.766163859999992"/>
    <n v="4"/>
    <s v="April"/>
    <s v="19050"/>
    <n v="3111001"/>
    <n v="4"/>
    <s v="4 - Eastern Region"/>
    <s v="2"/>
    <s v="Urban"/>
    <s v="NODE"/>
    <n v="86335"/>
    <n v="0"/>
  </r>
  <r>
    <x v="2"/>
    <s v="2019-69114"/>
    <d v="2019-10-27T00:00:00"/>
    <s v="Brewer"/>
    <s v="Sunday"/>
    <s v="10:23:00"/>
    <x v="6"/>
    <s v="None"/>
    <s v="Daylight"/>
    <s v="Rear End / Sideswipe"/>
    <s v="Driveways"/>
    <s v="Dry"/>
    <s v="Cloudy"/>
    <m/>
    <s v="No Contributing Action"/>
    <m/>
    <s v="Unknown"/>
    <m/>
    <m/>
    <s v="0001A"/>
    <s v="US 1A"/>
    <n v="39.65"/>
    <n v="1"/>
    <n v="8755"/>
    <n v="25"/>
    <s v="N"/>
    <s v="N"/>
    <s v="N"/>
    <s v="N"/>
    <s v="No"/>
    <s v="No"/>
    <n v="2"/>
    <n v="2"/>
    <n v="0"/>
    <n v="0"/>
    <n v="0"/>
    <n v="0"/>
    <n v="0"/>
    <n v="2"/>
    <s v="PD"/>
    <s v="BACTS"/>
    <n v="10"/>
    <s v="None"/>
    <s v="Posted"/>
    <n v="1"/>
    <s v="Penobscot"/>
    <s v="2019-69114"/>
    <s v="BREWER POLICE DEPARTMENT"/>
    <s v="19-088377"/>
    <n v="44.788964890000003"/>
    <n v="-68.758096519999995"/>
    <n v="10"/>
    <s v="October"/>
    <s v="19050"/>
    <n v="3132133"/>
    <n v="4"/>
    <s v="4 - Eastern Region"/>
    <s v="2"/>
    <s v="Urban"/>
    <s v="ELEMENT"/>
    <n v="87458"/>
    <n v="7.0000000000000007E-2"/>
  </r>
  <r>
    <x v="2"/>
    <s v="2021-19848"/>
    <d v="2021-07-28T00:00:00"/>
    <s v="Brewer"/>
    <s v="Wednesday"/>
    <s v="11:05:00"/>
    <x v="7"/>
    <s v="None"/>
    <s v="Daylight"/>
    <s v="Rear End / Sideswipe"/>
    <s v="Straight Road"/>
    <s v="Dry"/>
    <s v="Clear"/>
    <s v="Yes"/>
    <s v="Followed Too Closely"/>
    <m/>
    <s v="No Contributing Action"/>
    <m/>
    <m/>
    <s v="0001A"/>
    <s v="US 1A"/>
    <n v="39.1"/>
    <n v="1"/>
    <n v="8494"/>
    <n v="25"/>
    <s v="N"/>
    <s v="N"/>
    <s v="N"/>
    <s v="N"/>
    <s v="No"/>
    <s v="No"/>
    <n v="2"/>
    <n v="5"/>
    <n v="1"/>
    <n v="0"/>
    <n v="0"/>
    <n v="0"/>
    <n v="1"/>
    <n v="4"/>
    <s v="C"/>
    <s v="BACTS"/>
    <n v="11"/>
    <s v="Traffic Signals (Stop &amp; Go)"/>
    <s v="Posted"/>
    <n v="4"/>
    <s v="Penobscot"/>
    <s v="2021-19848"/>
    <s v="BREWER POLICE DEPARTMENT"/>
    <s v="21-055334"/>
    <n v="44.794545249999999"/>
    <n v="-68.765828959999993"/>
    <n v="7"/>
    <s v="July"/>
    <s v="19050"/>
    <n v="3119550"/>
    <n v="4"/>
    <s v="4 - Eastern Region"/>
    <s v="2"/>
    <s v="Urban"/>
    <s v="ELEMENT"/>
    <n v="88794"/>
    <n v="0.02"/>
  </r>
  <r>
    <x v="2"/>
    <s v="2022-6094"/>
    <d v="2022-01-30T00:00:00"/>
    <s v="Brewer"/>
    <s v="Sunday"/>
    <s v="10:18:00"/>
    <x v="3"/>
    <s v="Road Surface Condition (Wet, Icy, Snow, Slush, etc.)"/>
    <s v="Daylight"/>
    <s v="Intersection Movement"/>
    <s v="Three Leg Intersection"/>
    <s v="Snow"/>
    <s v="Clear"/>
    <s v="Yes"/>
    <s v="Failed to Yield Right-of-Way"/>
    <m/>
    <s v="No Contributing Action"/>
    <m/>
    <n v="39771"/>
    <s v="0001A"/>
    <s v="US 1A"/>
    <n v="39.26"/>
    <n v="1"/>
    <n v="8864"/>
    <m/>
    <s v="N"/>
    <s v="N"/>
    <s v="N"/>
    <s v="N"/>
    <s v="No"/>
    <s v="No"/>
    <n v="2"/>
    <n v="3"/>
    <n v="0"/>
    <n v="0"/>
    <n v="0"/>
    <n v="0"/>
    <n v="0"/>
    <n v="3"/>
    <s v="PD"/>
    <s v="BACTS"/>
    <n v="10"/>
    <s v="Stop Signs - Other"/>
    <s v="Unknown"/>
    <n v="1"/>
    <s v="Penobscot"/>
    <s v="2022-06094"/>
    <s v="BREWER POLICE DEPARTMENT"/>
    <s v="22-007340"/>
    <n v="44.7932104"/>
    <n v="-68.763276059999995"/>
    <n v="1"/>
    <s v="January"/>
    <s v="19050"/>
    <n v="220183"/>
    <n v="4"/>
    <s v="4 - Eastern Region"/>
    <s v="2"/>
    <s v="Urban"/>
    <s v="NODE"/>
    <n v="89993"/>
    <n v="0"/>
  </r>
  <r>
    <x v="2"/>
    <s v="2025-3109"/>
    <d v="2025-01-29T00:00:00"/>
    <s v="Brewer"/>
    <s v="Wednesday"/>
    <s v="17:48:00"/>
    <x v="8"/>
    <s v="Road Surface Condition (Wet, Icy, Snow, Slush, etc.)"/>
    <s v="Dark - Lighted"/>
    <s v="Intersection Movement"/>
    <s v="Four Leg Intersection"/>
    <s v="Snow"/>
    <s v="Clear"/>
    <s v="Yes"/>
    <s v="Failed to Yield Right-of-Way"/>
    <m/>
    <s v="No Contributing Action"/>
    <m/>
    <n v="39685"/>
    <s v="0001A"/>
    <s v="US 1A"/>
    <n v="39.08"/>
    <n v="1"/>
    <n v="23788.5"/>
    <m/>
    <s v="N"/>
    <s v="N"/>
    <m/>
    <s v="N"/>
    <s v="No"/>
    <s v="No"/>
    <n v="2"/>
    <n v="3"/>
    <n v="0"/>
    <n v="0"/>
    <n v="0"/>
    <n v="0"/>
    <n v="0"/>
    <n v="3"/>
    <s v="PD"/>
    <s v="BACTS"/>
    <n v="17"/>
    <s v="Traffic Signals (Stop &amp; Go)"/>
    <s v="Unknown"/>
    <n v="4"/>
    <s v="Penobscot"/>
    <s v="2025-03109"/>
    <s v="BREWER POLICE DEPARTMENT"/>
    <s v="25-006873"/>
    <n v="44.794701119999999"/>
    <n v="-68.766163859999992"/>
    <n v="1"/>
    <s v="January"/>
    <s v="19050"/>
    <n v="3111001"/>
    <n v="4"/>
    <s v="4 - Eastern Region"/>
    <s v="2"/>
    <s v="Urban"/>
    <s v="NODE"/>
    <n v="96462"/>
    <n v="0"/>
  </r>
  <r>
    <x v="2"/>
    <s v="2025-7156"/>
    <d v="2025-03-04T00:00:00"/>
    <s v="Brewer"/>
    <s v="Tuesday  "/>
    <s v="12:10:00"/>
    <x v="8"/>
    <s v="None"/>
    <s v="Daylight"/>
    <s v="Rear End / Sideswipe"/>
    <s v="Three Leg Intersection"/>
    <s v="Dry"/>
    <s v="Clear"/>
    <s v="Yes"/>
    <m/>
    <m/>
    <s v="No Contributing Action"/>
    <m/>
    <n v="38309"/>
    <s v="0001A"/>
    <s v="US 1A"/>
    <n v="39.840000000000003"/>
    <n v="1"/>
    <n v="9913.5"/>
    <m/>
    <s v="N"/>
    <s v="N"/>
    <m/>
    <s v="N"/>
    <s v="No"/>
    <s v="No"/>
    <n v="2"/>
    <n v="1"/>
    <n v="0"/>
    <n v="0"/>
    <n v="0"/>
    <n v="0"/>
    <n v="0"/>
    <n v="1"/>
    <s v="PD"/>
    <s v="BACTS"/>
    <n v="12"/>
    <s v="Traffic Signals (Stop &amp; Go)"/>
    <s v="Unknown"/>
    <n v="3"/>
    <s v="Penobscot"/>
    <s v="2025-07156"/>
    <s v="BREWER POLICE DEPARTMENT"/>
    <s v="25-014989"/>
    <n v="44.786902750000003"/>
    <n v="-68.75555507"/>
    <n v="3"/>
    <s v="March"/>
    <s v="19050"/>
    <n v="3115152"/>
    <n v="4"/>
    <s v="4 - Eastern Region"/>
    <s v="2"/>
    <s v="Urban"/>
    <s v="NODE"/>
    <n v="98467"/>
    <n v="0"/>
  </r>
  <r>
    <x v="2"/>
    <s v="2023-36261"/>
    <d v="2023-11-30T00:00:00"/>
    <s v="Brewer"/>
    <s v="Thursday "/>
    <s v="17:16:00"/>
    <x v="0"/>
    <s v="None"/>
    <s v="Dusk"/>
    <s v="Head-on / Sideswipe"/>
    <s v="Four Leg Intersection"/>
    <s v="Dry"/>
    <s v="Clear"/>
    <s v="Yes"/>
    <s v="Improper Backing"/>
    <m/>
    <s v="No Contributing Action"/>
    <m/>
    <n v="39685"/>
    <s v="0001A"/>
    <s v="US 1A"/>
    <n v="39.08"/>
    <n v="1"/>
    <n v="23788.5"/>
    <m/>
    <s v="N"/>
    <s v="N"/>
    <m/>
    <s v="N"/>
    <s v="No"/>
    <s v="No"/>
    <n v="2"/>
    <n v="2"/>
    <n v="0"/>
    <n v="0"/>
    <n v="0"/>
    <n v="0"/>
    <n v="0"/>
    <n v="2"/>
    <s v="PD"/>
    <s v="BACTS"/>
    <n v="17"/>
    <s v="Traffic Signals (Stop &amp; Go)"/>
    <s v="Unknown"/>
    <n v="5"/>
    <s v="Penobscot"/>
    <s v="2023-36261"/>
    <s v="BREWER POLICE DEPARTMENT"/>
    <s v="23-093677"/>
    <n v="44.794701119999999"/>
    <n v="-68.766163859999992"/>
    <n v="11"/>
    <s v="November"/>
    <s v="19050"/>
    <n v="3111001"/>
    <n v="4"/>
    <s v="4 - Eastern Region"/>
    <s v="2"/>
    <s v="Urban"/>
    <s v="NODE"/>
    <n v="101053"/>
    <n v="0"/>
  </r>
  <r>
    <x v="2"/>
    <s v="2025-11621"/>
    <d v="2025-04-16T00:00:00"/>
    <s v="Brewer"/>
    <s v="Wednesday"/>
    <s v="15:00:00"/>
    <x v="8"/>
    <s v="None"/>
    <s v="Daylight"/>
    <s v="Rear End / Sideswipe"/>
    <s v="Four Leg Intersection"/>
    <s v="Dry"/>
    <s v="Cloudy"/>
    <s v="Yes"/>
    <s v="Followed Too Closely"/>
    <m/>
    <s v="No Contributing Action"/>
    <m/>
    <n v="39685"/>
    <s v="0001A"/>
    <s v="US 1A"/>
    <n v="39.08"/>
    <n v="1"/>
    <n v="23788.5"/>
    <m/>
    <s v="N"/>
    <s v="N"/>
    <m/>
    <s v="N"/>
    <s v="No"/>
    <s v="No"/>
    <n v="2"/>
    <n v="2"/>
    <n v="0"/>
    <n v="0"/>
    <n v="0"/>
    <n v="0"/>
    <n v="0"/>
    <n v="2"/>
    <s v="PD"/>
    <s v="BACTS"/>
    <n v="15"/>
    <s v="Traffic Signals (Stop &amp; Go)"/>
    <s v="Unknown"/>
    <n v="4"/>
    <s v="Penobscot"/>
    <s v="2025-11621"/>
    <s v="BREWER POLICE DEPARTMENT"/>
    <s v="25-025714"/>
    <n v="44.794701119999999"/>
    <n v="-68.766163859999992"/>
    <n v="4"/>
    <s v="April"/>
    <s v="19050"/>
    <n v="3111001"/>
    <n v="4"/>
    <s v="4 - Eastern Region"/>
    <s v="2"/>
    <s v="Urban"/>
    <s v="NODE"/>
    <n v="102260"/>
    <n v="0"/>
  </r>
  <r>
    <x v="2"/>
    <s v="2025-8626"/>
    <d v="2025-03-23T00:00:00"/>
    <s v="Brewer"/>
    <s v="Sunday   "/>
    <s v="12:56:00"/>
    <x v="8"/>
    <s v="None"/>
    <s v="Daylight"/>
    <s v="Rear End / Sideswipe"/>
    <s v="Driveways"/>
    <s v="Dry"/>
    <s v="Clear"/>
    <s v="Yes"/>
    <s v="Swerved or Avoided Due to Wind, Slippery Surface, Motor Vehicle, Object, Non-Motorist in Roadway"/>
    <m/>
    <s v="No Contributing Action"/>
    <m/>
    <m/>
    <s v="0015B"/>
    <s v="ST RTE 15B"/>
    <n v="0.70000000000000007"/>
    <n v="2"/>
    <n v="12893"/>
    <n v="25"/>
    <s v="N"/>
    <s v="N"/>
    <m/>
    <s v="N"/>
    <s v="No"/>
    <s v="No"/>
    <n v="2"/>
    <n v="2"/>
    <n v="0"/>
    <n v="0"/>
    <n v="0"/>
    <n v="0"/>
    <n v="0"/>
    <n v="2"/>
    <s v="PD"/>
    <s v="BACTS"/>
    <n v="12"/>
    <s v="Traffic Signals (Stop &amp; Go)"/>
    <s v="Unposted"/>
    <n v="1"/>
    <s v="Penobscot"/>
    <s v="2025-08626"/>
    <s v="BREWER POLICE DEPARTMENT"/>
    <s v="25-019685"/>
    <n v="44.794392270000003"/>
    <n v="-68.766409800000005"/>
    <n v="3"/>
    <s v="March"/>
    <s v="19050"/>
    <n v="3111000"/>
    <n v="4"/>
    <s v="4 - Eastern Region"/>
    <s v="2"/>
    <s v="Urban"/>
    <s v="ELEMENT"/>
    <n v="103451"/>
    <n v="0.06"/>
  </r>
  <r>
    <x v="2"/>
    <s v="2020-14771"/>
    <d v="2020-06-23T00:00:00"/>
    <s v="Brewer"/>
    <s v="Tuesday"/>
    <s v="10:09:00"/>
    <x v="5"/>
    <s v="None"/>
    <s v="Daylight"/>
    <s v="Went Off Road"/>
    <s v="Straight Road"/>
    <s v="Dry"/>
    <s v="Clear"/>
    <s v="Unknown"/>
    <s v="Wrong Way"/>
    <s v="Unknown"/>
    <m/>
    <m/>
    <m/>
    <s v="0015B"/>
    <s v="ST RTE 15B"/>
    <n v="0.70000000000000007"/>
    <n v="2"/>
    <n v="12893"/>
    <n v="25"/>
    <s v="N"/>
    <s v="N"/>
    <s v="N"/>
    <s v="N"/>
    <s v="No"/>
    <s v="No"/>
    <n v="1"/>
    <n v="1"/>
    <n v="0"/>
    <n v="0"/>
    <n v="0"/>
    <n v="0"/>
    <n v="0"/>
    <n v="1"/>
    <s v="PD"/>
    <s v="BACTS"/>
    <n v="10"/>
    <s v="Other"/>
    <s v="Unposted"/>
    <n v="3"/>
    <s v="Penobscot"/>
    <s v="2020-14771"/>
    <s v="BREWER POLICE DEPARTMENT"/>
    <s v="20-046626"/>
    <n v="44.794449999999998"/>
    <n v="-68.766369999999995"/>
    <n v="6"/>
    <s v="June"/>
    <s v="19050"/>
    <n v="3111000"/>
    <n v="4"/>
    <s v="4 - Eastern Region"/>
    <s v="2"/>
    <s v="Urban"/>
    <s v="ELEMENT"/>
    <n v="103961"/>
    <n v="0.06"/>
  </r>
  <r>
    <x v="2"/>
    <s v="2021-9770"/>
    <d v="2021-04-21T00:00:00"/>
    <s v="Brewer"/>
    <s v="Wednesday"/>
    <s v="16:55:00"/>
    <x v="7"/>
    <s v="None"/>
    <s v="Daylight"/>
    <s v="Rear End / Sideswipe"/>
    <s v="Four Leg Intersection"/>
    <s v="Wet"/>
    <s v="Cloudy"/>
    <s v="Yes"/>
    <s v="Followed Too Closely"/>
    <s v="No Contributing Action"/>
    <s v="No Contributing Action"/>
    <m/>
    <n v="39685"/>
    <s v="0001A"/>
    <s v="US 1A"/>
    <n v="39.08"/>
    <n v="1"/>
    <n v="23788.5"/>
    <m/>
    <s v="N"/>
    <s v="N"/>
    <s v="N"/>
    <s v="N"/>
    <s v="No"/>
    <s v="No"/>
    <n v="2"/>
    <n v="2"/>
    <n v="0"/>
    <n v="0"/>
    <n v="0"/>
    <n v="0"/>
    <n v="0"/>
    <n v="2"/>
    <s v="PD"/>
    <s v="BACTS"/>
    <n v="16"/>
    <s v="Traffic Signals (Stop &amp; Go)"/>
    <s v="Unknown"/>
    <n v="4"/>
    <s v="Penobscot"/>
    <s v="2021-09770"/>
    <s v="BREWER POLICE DEPARTMENT"/>
    <s v="21-027189"/>
    <n v="44.794701119999999"/>
    <n v="-68.766163859999992"/>
    <n v="4"/>
    <s v="April"/>
    <s v="19050"/>
    <n v="3111001"/>
    <n v="4"/>
    <s v="4 - Eastern Region"/>
    <s v="2"/>
    <s v="Urban"/>
    <s v="NODE"/>
    <n v="104201"/>
    <n v="0"/>
  </r>
  <r>
    <x v="2"/>
    <s v="2020-30298"/>
    <d v="2020-12-01T00:00:00"/>
    <s v="Brewer"/>
    <s v="Tuesday"/>
    <s v="14:52:00"/>
    <x v="5"/>
    <s v="None"/>
    <s v="Daylight"/>
    <s v="Intersection Movement"/>
    <s v="Three Leg Intersection"/>
    <s v="Wet"/>
    <s v="Rain"/>
    <m/>
    <s v="Other Contributing Action"/>
    <m/>
    <s v="No Contributing Action"/>
    <m/>
    <n v="39767"/>
    <s v="0001A"/>
    <s v="US 1A"/>
    <n v="39.58"/>
    <n v="1"/>
    <n v="9501"/>
    <m/>
    <s v="N"/>
    <s v="N"/>
    <s v="N"/>
    <s v="N"/>
    <s v="No"/>
    <s v="No"/>
    <n v="2"/>
    <n v="2"/>
    <n v="0"/>
    <n v="0"/>
    <n v="0"/>
    <n v="0"/>
    <n v="0"/>
    <n v="2"/>
    <s v="PD"/>
    <s v="BACTS"/>
    <n v="14"/>
    <s v="None"/>
    <s v="Unknown"/>
    <n v="3"/>
    <s v="Penobscot"/>
    <s v="2020-30298"/>
    <s v="BREWER POLICE DEPARTMENT"/>
    <s v="20-092301"/>
    <n v="44.789710600000006"/>
    <n v="-68.759029319999996"/>
    <n v="12"/>
    <s v="December"/>
    <s v="19050"/>
    <n v="3124231"/>
    <n v="4"/>
    <s v="4 - Eastern Region"/>
    <s v="2"/>
    <s v="Urban"/>
    <s v="NODE"/>
    <n v="106296"/>
    <n v="0"/>
  </r>
  <r>
    <x v="2"/>
    <s v="2025-5672"/>
    <d v="2025-02-17T00:00:00"/>
    <s v="Brewer"/>
    <s v="Monday   "/>
    <s v="16:48:00"/>
    <x v="8"/>
    <s v="None"/>
    <s v="Daylight"/>
    <s v="Rear End / Sideswipe"/>
    <s v="Straight Road"/>
    <s v="Slush"/>
    <s v="Clear"/>
    <m/>
    <s v="Other Contributing Action"/>
    <m/>
    <s v="No Contributing Action"/>
    <m/>
    <m/>
    <s v="0001A"/>
    <s v="US 1A"/>
    <n v="39.92"/>
    <n v="1"/>
    <n v="9125"/>
    <n v="25"/>
    <s v="N"/>
    <s v="N"/>
    <m/>
    <s v="N"/>
    <s v="No"/>
    <s v="No"/>
    <n v="2"/>
    <n v="4"/>
    <n v="0"/>
    <n v="0"/>
    <n v="0"/>
    <n v="0"/>
    <n v="0"/>
    <n v="4"/>
    <s v="PD"/>
    <s v="BACTS"/>
    <n v="16"/>
    <s v="None"/>
    <s v="Posted"/>
    <n v="2"/>
    <s v="Penobscot"/>
    <s v="2025-05672"/>
    <s v="BREWER POLICE DEPARTMENT"/>
    <s v="25-011325"/>
    <n v="44.78598934"/>
    <n v="-68.754443430000009"/>
    <n v="2"/>
    <s v="February"/>
    <s v="19050"/>
    <n v="2071517"/>
    <n v="4"/>
    <s v="4 - Eastern Region"/>
    <s v="2"/>
    <s v="Urban"/>
    <s v="ELEMENT"/>
    <n v="109722"/>
    <n v="0.02"/>
  </r>
  <r>
    <x v="2"/>
    <s v="2019-58431"/>
    <d v="2019-07-10T00:00:00"/>
    <s v="Brewer"/>
    <s v="Wednesday"/>
    <s v="09:55:00"/>
    <x v="6"/>
    <s v="None"/>
    <s v="Daylight"/>
    <s v="Bicycle"/>
    <s v="Straight Road"/>
    <s v="Dry"/>
    <s v="Clear"/>
    <m/>
    <s v="No Contributing Action"/>
    <m/>
    <m/>
    <m/>
    <m/>
    <s v="0001A"/>
    <s v="US 1A"/>
    <n v="39.56"/>
    <n v="1"/>
    <n v="8594"/>
    <n v="25"/>
    <s v="Y"/>
    <s v="N"/>
    <s v="N"/>
    <s v="N"/>
    <s v="No"/>
    <s v="No"/>
    <n v="2"/>
    <n v="2"/>
    <n v="1"/>
    <n v="0"/>
    <n v="0"/>
    <n v="1"/>
    <n v="0"/>
    <n v="1"/>
    <s v="B"/>
    <s v="BACTS"/>
    <n v="9"/>
    <s v="None"/>
    <s v="Posted"/>
    <n v="4"/>
    <s v="Penobscot"/>
    <s v="2019-58431"/>
    <s v="BREWER POLICE DEPARTMENT"/>
    <s v="19-054016"/>
    <n v="44.789930000000012"/>
    <n v="-68.759299999999996"/>
    <n v="7"/>
    <s v="July"/>
    <s v="19050"/>
    <n v="3124231"/>
    <n v="4"/>
    <s v="4 - Eastern Region"/>
    <s v="2"/>
    <s v="Urban"/>
    <s v="ELEMENT"/>
    <n v="110386"/>
    <n v="0.02"/>
  </r>
  <r>
    <x v="2"/>
    <s v="2026-2919"/>
    <d v="2026-01-27T00:00:00"/>
    <s v="Brewer"/>
    <s v="Tuesday  "/>
    <s v="16:46:00"/>
    <x v="1"/>
    <s v="Road Surface Condition (Wet, Icy, Snow, Slush, etc.)"/>
    <s v="Dusk"/>
    <s v="Intersection Movement"/>
    <s v="Three Leg Intersection"/>
    <s v="Snow"/>
    <s v="Cloudy"/>
    <m/>
    <s v="Improper Turn"/>
    <m/>
    <s v="No Contributing Action"/>
    <m/>
    <n v="39772"/>
    <s v="0001A"/>
    <s v="US 1A"/>
    <n v="39.229999999999997"/>
    <n v="1"/>
    <n v="8605.5"/>
    <m/>
    <s v="N"/>
    <s v="N"/>
    <m/>
    <s v="N"/>
    <s v="No"/>
    <s v="No"/>
    <n v="2"/>
    <n v="2"/>
    <n v="0"/>
    <n v="0"/>
    <n v="0"/>
    <n v="0"/>
    <n v="0"/>
    <n v="2"/>
    <s v="PD"/>
    <s v="BACTS"/>
    <n v="16"/>
    <s v="None"/>
    <s v="Unknown"/>
    <n v="3"/>
    <s v="Penobscot"/>
    <s v="2026-02919"/>
    <s v="BREWER POLICE DEPARTMENT"/>
    <s v="26-005914"/>
    <n v="44.79353708"/>
    <n v="-68.76367071"/>
    <n v="1"/>
    <s v="January"/>
    <s v="19050"/>
    <n v="220183"/>
    <n v="4"/>
    <s v="4 - Eastern Region"/>
    <s v="2"/>
    <s v="Urban"/>
    <s v="NODE"/>
    <n v="113222"/>
    <n v="0.03"/>
  </r>
  <r>
    <x v="2"/>
    <s v="2018-9457"/>
    <d v="2018-03-16T00:00:00"/>
    <s v="Brewer"/>
    <s v="Friday"/>
    <s v="11:30:00"/>
    <x v="2"/>
    <s v="None"/>
    <s v="Daylight"/>
    <s v="Rear End / Sideswipe"/>
    <s v="Straight Road"/>
    <s v="Dry"/>
    <s v="Clear"/>
    <m/>
    <s v="Followed Too Closely"/>
    <s v="No Contributing Action"/>
    <s v="No Contributing Action"/>
    <m/>
    <m/>
    <s v="0001A"/>
    <s v="US 1A"/>
    <n v="39.86"/>
    <n v="1"/>
    <n v="9113"/>
    <n v="25"/>
    <s v="N"/>
    <s v="N"/>
    <s v="N"/>
    <s v="N"/>
    <s v="No"/>
    <s v="No"/>
    <n v="2"/>
    <n v="4"/>
    <n v="1"/>
    <n v="0"/>
    <n v="0"/>
    <n v="0"/>
    <n v="1"/>
    <n v="3"/>
    <s v="C"/>
    <s v="BACTS"/>
    <n v="11"/>
    <s v="None"/>
    <s v="Posted"/>
    <n v="6"/>
    <s v="Penobscot"/>
    <s v="2018-09457"/>
    <s v="BREWER POLICE DEPARTMENT"/>
    <s v="18-019315"/>
    <n v="44.786670030000003"/>
    <n v="-68.755267619999998"/>
    <n v="3"/>
    <s v="March"/>
    <s v="19050"/>
    <n v="3129631"/>
    <n v="4"/>
    <s v="4 - Eastern Region"/>
    <s v="2"/>
    <s v="Urban"/>
    <s v="ELEMENT"/>
    <n v="114028"/>
    <n v="0.02"/>
  </r>
  <r>
    <x v="2"/>
    <s v="2023-11207"/>
    <d v="2023-04-14T00:00:00"/>
    <s v="Brewer"/>
    <s v="Friday"/>
    <s v="16:10:00"/>
    <x v="0"/>
    <s v="None"/>
    <s v="Daylight"/>
    <s v="Rear End / Sideswipe"/>
    <s v="Four Leg Intersection"/>
    <s v="Dry"/>
    <s v="Clear"/>
    <s v="Yes"/>
    <s v="Followed Too Closely"/>
    <m/>
    <s v="No Contributing Action"/>
    <m/>
    <n v="39685"/>
    <s v="0001A"/>
    <s v="US 1A"/>
    <n v="39.08"/>
    <n v="1"/>
    <n v="23788.5"/>
    <m/>
    <s v="N"/>
    <s v="N"/>
    <m/>
    <s v="N"/>
    <s v="No"/>
    <s v="No"/>
    <n v="2"/>
    <n v="2"/>
    <n v="0"/>
    <n v="0"/>
    <n v="0"/>
    <n v="0"/>
    <n v="0"/>
    <n v="2"/>
    <s v="PD"/>
    <s v="BACTS"/>
    <n v="16"/>
    <s v="Traffic Signals (Stop &amp; Go)"/>
    <s v="Unknown"/>
    <n v="6"/>
    <s v="Penobscot"/>
    <s v="2023-11207"/>
    <s v="BREWER POLICE DEPARTMENT"/>
    <s v="23-026587"/>
    <n v="44.794701119999999"/>
    <n v="-68.766163859999992"/>
    <n v="4"/>
    <s v="April"/>
    <s v="19050"/>
    <n v="3111001"/>
    <n v="4"/>
    <s v="4 - Eastern Region"/>
    <s v="2"/>
    <s v="Urban"/>
    <s v="NODE"/>
    <n v="116302"/>
    <n v="0"/>
  </r>
  <r>
    <x v="2"/>
    <s v="2025-16439"/>
    <d v="2025-06-11T00:00:00"/>
    <s v="Brewer"/>
    <s v="Wednesday"/>
    <s v="09:54:00"/>
    <x v="8"/>
    <s v="None"/>
    <s v="Daylight"/>
    <s v="Intersection Movement"/>
    <s v="Driveways"/>
    <s v="Dry"/>
    <s v="Clear"/>
    <m/>
    <s v="No Contributing Action"/>
    <m/>
    <s v="No Contributing Action"/>
    <m/>
    <m/>
    <s v="0001A"/>
    <s v="US 1A"/>
    <n v="39.67"/>
    <n v="1"/>
    <n v="8755"/>
    <n v="25"/>
    <s v="N"/>
    <s v="N"/>
    <m/>
    <s v="N"/>
    <s v="No"/>
    <s v="No"/>
    <n v="2"/>
    <n v="2"/>
    <n v="0"/>
    <n v="0"/>
    <n v="0"/>
    <n v="0"/>
    <n v="0"/>
    <n v="2"/>
    <s v="PD"/>
    <s v="BACTS"/>
    <n v="9"/>
    <s v="None"/>
    <s v="Posted"/>
    <n v="4"/>
    <s v="Penobscot"/>
    <s v="2025-16439"/>
    <s v="BREWER POLICE DEPARTMENT"/>
    <s v="25-040721"/>
    <n v="44.78872535"/>
    <n v="-68.757809800000004"/>
    <n v="6"/>
    <s v="June"/>
    <s v="19050"/>
    <n v="3132133"/>
    <n v="4"/>
    <s v="4 - Eastern Region"/>
    <s v="2"/>
    <s v="Urban"/>
    <s v="ELEMENT"/>
    <n v="118804"/>
    <n v="0.05"/>
  </r>
  <r>
    <x v="2"/>
    <s v="2022-7243"/>
    <d v="2022-03-02T00:00:00"/>
    <s v="Brewer"/>
    <s v="Wednesday"/>
    <s v="09:45:00"/>
    <x v="3"/>
    <s v="None"/>
    <s v="Daylight"/>
    <s v="Rear End / Sideswipe"/>
    <s v="Driveways"/>
    <s v="Dry"/>
    <s v="Clear"/>
    <m/>
    <s v="Improper Turn"/>
    <m/>
    <s v="No Contributing Action"/>
    <m/>
    <m/>
    <s v="0001A"/>
    <s v="US 1A"/>
    <n v="40.01"/>
    <n v="1"/>
    <n v="4809"/>
    <n v="25"/>
    <s v="N"/>
    <s v="N"/>
    <s v="N"/>
    <s v="N"/>
    <s v="No"/>
    <s v="No"/>
    <n v="2"/>
    <n v="3"/>
    <n v="0"/>
    <n v="0"/>
    <n v="0"/>
    <n v="0"/>
    <n v="0"/>
    <n v="3"/>
    <s v="PD"/>
    <s v="BACTS"/>
    <n v="9"/>
    <s v="None"/>
    <s v="Posted"/>
    <n v="4"/>
    <s v="Penobscot"/>
    <s v="2022-07243"/>
    <s v="BREWER POLICE DEPARTMENT"/>
    <s v="22-015471"/>
    <n v="44.78499952"/>
    <n v="-68.753244850000002"/>
    <n v="3"/>
    <s v="March"/>
    <s v="19050"/>
    <n v="3111057"/>
    <n v="4"/>
    <s v="4 - Eastern Region"/>
    <s v="2"/>
    <s v="Urban"/>
    <s v="ELEMENT"/>
    <n v="119177"/>
    <n v="0.01"/>
  </r>
  <r>
    <x v="2"/>
    <s v="2018-238"/>
    <d v="2018-01-04T00:00:00"/>
    <s v="Brewer"/>
    <s v="Thursday"/>
    <s v="13:07:00"/>
    <x v="2"/>
    <s v="Road Surface Condition (Wet, Icy, Snow, Slush, etc.)"/>
    <s v="Daylight"/>
    <s v="Rear End / Sideswipe"/>
    <s v="Driveways"/>
    <s v="Snow"/>
    <s v="Snow"/>
    <m/>
    <s v="Followed Too Closely"/>
    <s v="Drove Too Fast For Conditions"/>
    <s v="No Contributing Action"/>
    <m/>
    <m/>
    <s v="0001A"/>
    <s v="US 1A"/>
    <n v="39.979999999999997"/>
    <n v="1"/>
    <n v="9197"/>
    <n v="25"/>
    <s v="N"/>
    <s v="N"/>
    <s v="N"/>
    <s v="N"/>
    <s v="No"/>
    <s v="No"/>
    <n v="2"/>
    <n v="3"/>
    <n v="0"/>
    <n v="0"/>
    <n v="0"/>
    <n v="0"/>
    <n v="0"/>
    <n v="3"/>
    <s v="PD"/>
    <s v="BACTS"/>
    <n v="13"/>
    <s v="None"/>
    <s v="Posted"/>
    <n v="5"/>
    <s v="Penobscot"/>
    <s v="2018-00238"/>
    <s v="BREWER POLICE DEPARTMENT"/>
    <s v="18-000904"/>
    <n v="44.785412620000002"/>
    <n v="-68.753774669999999"/>
    <n v="1"/>
    <s v="January"/>
    <s v="19050"/>
    <n v="3111058"/>
    <n v="4"/>
    <s v="4 - Eastern Region"/>
    <s v="2"/>
    <s v="Urban"/>
    <s v="ELEMENT"/>
    <n v="120039"/>
    <n v="0.05"/>
  </r>
  <r>
    <x v="2"/>
    <s v="2019-46578"/>
    <d v="2019-03-22T00:00:00"/>
    <s v="Brewer"/>
    <s v="Friday"/>
    <s v="13:30:00"/>
    <x v="6"/>
    <s v="None"/>
    <s v="Daylight"/>
    <s v="Rear End / Sideswipe"/>
    <s v="Four Leg Intersection"/>
    <s v="Wet"/>
    <s v="Rain"/>
    <s v="Yes"/>
    <s v="No Contributing Action"/>
    <m/>
    <s v="No Contributing Action"/>
    <m/>
    <n v="39685"/>
    <s v="0001A"/>
    <s v="US 1A"/>
    <n v="39.08"/>
    <n v="1"/>
    <n v="23788.5"/>
    <m/>
    <s v="N"/>
    <s v="N"/>
    <s v="N"/>
    <s v="N"/>
    <s v="No"/>
    <s v="No"/>
    <n v="3"/>
    <n v="3"/>
    <n v="0"/>
    <n v="0"/>
    <n v="0"/>
    <n v="0"/>
    <n v="0"/>
    <n v="3"/>
    <s v="PD"/>
    <s v="BACTS"/>
    <n v="13"/>
    <s v="Traffic Signals (Stop &amp; Go)"/>
    <s v="Unknown"/>
    <n v="6"/>
    <s v="Penobscot"/>
    <s v="2019-46578"/>
    <s v="BREWER POLICE DEPARTMENT"/>
    <s v="19-021120"/>
    <n v="44.794701119999999"/>
    <n v="-68.766163859999992"/>
    <n v="3"/>
    <s v="March"/>
    <s v="19050"/>
    <n v="3111001"/>
    <n v="4"/>
    <s v="4 - Eastern Region"/>
    <s v="2"/>
    <s v="Urban"/>
    <s v="NODE"/>
    <n v="121905"/>
    <n v="0"/>
  </r>
  <r>
    <x v="2"/>
    <s v="2018-9864"/>
    <d v="2018-03-27T00:00:00"/>
    <s v="Brewer"/>
    <s v="Tuesday"/>
    <s v="11:36:00"/>
    <x v="2"/>
    <s v="None"/>
    <s v="Daylight"/>
    <s v="Rear End / Sideswipe"/>
    <s v="Straight Road"/>
    <s v="Dry"/>
    <s v="Clear"/>
    <s v="Yes"/>
    <s v="Followed Too Closely"/>
    <s v="No Contributing Action"/>
    <s v="No Contributing Action"/>
    <m/>
    <m/>
    <s v="0001A"/>
    <s v="US 1A"/>
    <n v="40"/>
    <n v="1"/>
    <n v="4809"/>
    <n v="25"/>
    <s v="N"/>
    <s v="N"/>
    <s v="N"/>
    <s v="N"/>
    <s v="No"/>
    <s v="No"/>
    <n v="2"/>
    <n v="2"/>
    <n v="0"/>
    <n v="0"/>
    <n v="0"/>
    <n v="0"/>
    <n v="0"/>
    <n v="2"/>
    <s v="PD"/>
    <s v="BACTS"/>
    <n v="11"/>
    <s v="None"/>
    <s v="Posted"/>
    <n v="3"/>
    <s v="Penobscot"/>
    <s v="2018-09864"/>
    <s v="BREWER POLICE DEPARTMENT"/>
    <s v="18-022199"/>
    <n v="44.785091399999999"/>
    <n v="-68.753395009999991"/>
    <n v="3"/>
    <s v="March"/>
    <s v="19050"/>
    <n v="3111057"/>
    <n v="4"/>
    <s v="4 - Eastern Region"/>
    <s v="2"/>
    <s v="Urban"/>
    <s v="ELEMENT"/>
    <n v="123040"/>
    <n v="0.02"/>
  </r>
  <r>
    <x v="2"/>
    <s v="2025-20210"/>
    <d v="2025-07-13T00:00:00"/>
    <s v="Brewer"/>
    <s v="Sunday   "/>
    <s v="12:24:00"/>
    <x v="8"/>
    <s v="None"/>
    <s v="Daylight"/>
    <s v="Rear End / Sideswipe"/>
    <s v="Straight Road"/>
    <s v="Dry"/>
    <s v="Clear"/>
    <m/>
    <s v="Failed to Keep in Proper Lane"/>
    <m/>
    <s v="No Contributing Action"/>
    <m/>
    <m/>
    <s v="0001A"/>
    <s v="US 1A"/>
    <n v="39.65"/>
    <n v="1"/>
    <n v="8755"/>
    <n v="25"/>
    <s v="N"/>
    <s v="N"/>
    <m/>
    <s v="N"/>
    <s v="No"/>
    <s v="No"/>
    <n v="2"/>
    <n v="3"/>
    <n v="2"/>
    <n v="0"/>
    <n v="0"/>
    <n v="1"/>
    <n v="1"/>
    <n v="1"/>
    <s v="B"/>
    <s v="BACTS"/>
    <n v="12"/>
    <s v="None"/>
    <s v="Posted"/>
    <n v="1"/>
    <s v="Penobscot"/>
    <s v="2025-20210"/>
    <s v="BREWER POLICE DEPARTMENT"/>
    <s v="25-049583"/>
    <n v="44.788989790000002"/>
    <n v="-68.758126329999996"/>
    <n v="7"/>
    <s v="July"/>
    <s v="19050"/>
    <n v="3132133"/>
    <n v="4"/>
    <s v="4 - Eastern Region"/>
    <s v="2"/>
    <s v="Urban"/>
    <s v="ELEMENT"/>
    <n v="125067"/>
    <n v="7.0000000000000007E-2"/>
  </r>
  <r>
    <x v="2"/>
    <s v="2025-22276"/>
    <d v="2025-08-02T00:00:00"/>
    <s v="Brewer"/>
    <s v="Saturday "/>
    <s v="10:57:00"/>
    <x v="8"/>
    <s v="None"/>
    <s v="Daylight"/>
    <s v="Intersection Movement"/>
    <s v="Three Leg Intersection"/>
    <s v="Dry"/>
    <s v="Clear"/>
    <s v="Yes"/>
    <s v="Improper Turn"/>
    <m/>
    <s v="No Contributing Action"/>
    <m/>
    <n v="39766"/>
    <s v="0001A"/>
    <s v="US 1A"/>
    <n v="39.6"/>
    <n v="1"/>
    <n v="9537.5"/>
    <m/>
    <s v="N"/>
    <s v="N"/>
    <m/>
    <s v="N"/>
    <s v="No"/>
    <s v="No"/>
    <n v="3"/>
    <n v="4"/>
    <n v="2"/>
    <n v="0"/>
    <n v="0"/>
    <n v="2"/>
    <n v="0"/>
    <n v="2"/>
    <s v="B"/>
    <s v="BACTS"/>
    <n v="10"/>
    <s v="Stop Signs - Other"/>
    <s v="Unknown"/>
    <n v="7"/>
    <s v="Penobscot"/>
    <s v="2025-22276"/>
    <s v="BREWER POLICE DEPARTMENT"/>
    <s v="25-055132"/>
    <n v="44.789548969999998"/>
    <n v="-68.758795660000004"/>
    <n v="8"/>
    <s v="August"/>
    <s v="19050"/>
    <n v="3118758"/>
    <n v="4"/>
    <s v="4 - Eastern Region"/>
    <s v="2"/>
    <s v="Urban"/>
    <s v="NODE"/>
    <n v="125747"/>
    <n v="0"/>
  </r>
  <r>
    <x v="2"/>
    <s v="2019-44564"/>
    <d v="2019-03-05T00:00:00"/>
    <s v="Brewer"/>
    <s v="Tuesday"/>
    <s v="12:40:00"/>
    <x v="6"/>
    <s v="None"/>
    <s v="Daylight"/>
    <s v="Rear End / Sideswipe"/>
    <s v="Straight Road"/>
    <s v="Dry"/>
    <s v="Clear"/>
    <m/>
    <s v="Failed to Keep in Proper Lane"/>
    <m/>
    <s v="No Contributing Action"/>
    <m/>
    <m/>
    <s v="0001A"/>
    <s v="US 1A"/>
    <n v="39.119999999999997"/>
    <n v="1"/>
    <n v="8494"/>
    <n v="25"/>
    <s v="N"/>
    <s v="N"/>
    <s v="N"/>
    <s v="N"/>
    <s v="Yes, School Bus Directly Involved"/>
    <s v="No"/>
    <n v="2"/>
    <n v="3"/>
    <n v="0"/>
    <n v="0"/>
    <n v="0"/>
    <n v="0"/>
    <n v="0"/>
    <n v="3"/>
    <s v="PD"/>
    <s v="BACTS"/>
    <n v="12"/>
    <s v="None"/>
    <s v="Posted"/>
    <n v="3"/>
    <s v="Penobscot"/>
    <s v="2019-44564"/>
    <s v="BREWER POLICE DEPARTMENT"/>
    <s v="19-016483"/>
    <n v="44.794426289999997"/>
    <n v="-68.765573360000005"/>
    <n v="3"/>
    <s v="March"/>
    <s v="19050"/>
    <n v="3119550"/>
    <n v="4"/>
    <s v="4 - Eastern Region"/>
    <s v="2"/>
    <s v="Urban"/>
    <s v="ELEMENT"/>
    <n v="125829"/>
    <n v="0.04"/>
  </r>
  <r>
    <x v="2"/>
    <s v="2020-18737"/>
    <d v="2020-08-05T00:00:00"/>
    <s v="Brewer"/>
    <s v="Wednesday"/>
    <s v="11:34:00"/>
    <x v="5"/>
    <s v="None"/>
    <s v="Daylight"/>
    <s v="Intersection Movement"/>
    <s v="Four Leg Intersection"/>
    <s v="Dry"/>
    <s v="Clear"/>
    <s v="Yes"/>
    <s v="Failed to Yield Right-of-Way"/>
    <m/>
    <s v="Unknown"/>
    <m/>
    <n v="39685"/>
    <s v="0001A"/>
    <s v="US 1A"/>
    <n v="39.08"/>
    <n v="1"/>
    <n v="23788.5"/>
    <m/>
    <s v="N"/>
    <s v="N"/>
    <s v="N"/>
    <s v="N"/>
    <s v="No"/>
    <s v="No"/>
    <n v="2"/>
    <n v="2"/>
    <n v="0"/>
    <n v="0"/>
    <n v="0"/>
    <n v="0"/>
    <n v="0"/>
    <n v="2"/>
    <s v="PD"/>
    <s v="BACTS"/>
    <n v="11"/>
    <s v="Traffic Signals (Stop &amp; Go)"/>
    <s v="Unknown"/>
    <n v="4"/>
    <s v="Penobscot"/>
    <s v="2020-18737"/>
    <s v="BREWER POLICE DEPARTMENT"/>
    <s v="20-059166"/>
    <n v="44.794701119999999"/>
    <n v="-68.766163859999992"/>
    <n v="8"/>
    <s v="August"/>
    <s v="19050"/>
    <n v="3111001"/>
    <n v="4"/>
    <s v="4 - Eastern Region"/>
    <s v="2"/>
    <s v="Urban"/>
    <s v="NODE"/>
    <n v="128003"/>
    <n v="0"/>
  </r>
  <r>
    <x v="2"/>
    <s v="2025-30796"/>
    <d v="2025-10-19T00:00:00"/>
    <s v="Brewer"/>
    <s v="Sunday   "/>
    <s v="15:25:00"/>
    <x v="8"/>
    <s v="None"/>
    <s v="Daylight"/>
    <s v="Intersection Movement"/>
    <s v="Four Leg Intersection"/>
    <s v="Dry"/>
    <s v="Clear"/>
    <s v="Yes"/>
    <s v="Failed to Yield Right-of-Way"/>
    <m/>
    <s v="No Contributing Action"/>
    <m/>
    <n v="39685"/>
    <s v="0001A"/>
    <s v="US 1A"/>
    <n v="39.08"/>
    <n v="1"/>
    <n v="23788.5"/>
    <m/>
    <s v="N"/>
    <s v="N"/>
    <m/>
    <s v="N"/>
    <s v="No"/>
    <s v="No"/>
    <n v="2"/>
    <n v="2"/>
    <n v="0"/>
    <n v="0"/>
    <n v="0"/>
    <n v="0"/>
    <n v="0"/>
    <n v="2"/>
    <s v="PD"/>
    <s v="BACTS"/>
    <n v="15"/>
    <s v="Traffic Signals (Stop &amp; Go)"/>
    <s v="Unknown"/>
    <n v="1"/>
    <s v="Penobscot"/>
    <s v="2025-30796"/>
    <s v="BREWER POLICE DEPARTMENT"/>
    <s v="25-076651"/>
    <n v="44.794701119999999"/>
    <n v="-68.766163859999992"/>
    <n v="10"/>
    <s v="October"/>
    <s v="19050"/>
    <n v="3111001"/>
    <n v="4"/>
    <s v="4 - Eastern Region"/>
    <s v="2"/>
    <s v="Urban"/>
    <s v="NODE"/>
    <n v="134705"/>
    <n v="0"/>
  </r>
  <r>
    <x v="2"/>
    <s v="2025-34885"/>
    <d v="2025-11-26T00:00:00"/>
    <s v="Brewer"/>
    <s v="Wednesday"/>
    <s v="14:55:00"/>
    <x v="8"/>
    <s v="None"/>
    <s v="Daylight"/>
    <s v="Rear End / Sideswipe"/>
    <s v="Four Leg Intersection"/>
    <s v="Wet"/>
    <s v="Cloudy"/>
    <s v="Yes"/>
    <s v="Other Contributing Action"/>
    <m/>
    <s v="No Contributing Action"/>
    <m/>
    <n v="39685"/>
    <s v="0001A"/>
    <s v="US 1A"/>
    <n v="39.08"/>
    <n v="1"/>
    <n v="23788.5"/>
    <m/>
    <s v="N"/>
    <s v="N"/>
    <m/>
    <s v="N"/>
    <s v="No"/>
    <s v="No"/>
    <n v="2"/>
    <n v="2"/>
    <n v="0"/>
    <n v="0"/>
    <n v="0"/>
    <n v="0"/>
    <n v="0"/>
    <n v="2"/>
    <s v="PD"/>
    <s v="BACTS"/>
    <n v="14"/>
    <s v="Traffic Signals (Stop &amp; Go)"/>
    <s v="Unknown"/>
    <n v="4"/>
    <s v="Penobscot"/>
    <s v="2025-34885"/>
    <s v="BREWER POLICE DEPARTMENT"/>
    <s v="25-086002"/>
    <n v="44.794701119999999"/>
    <n v="-68.766163859999992"/>
    <n v="11"/>
    <s v="November"/>
    <s v="19050"/>
    <n v="3111001"/>
    <n v="4"/>
    <s v="4 - Eastern Region"/>
    <s v="2"/>
    <s v="Urban"/>
    <s v="NODE"/>
    <n v="134944"/>
    <n v="0"/>
  </r>
  <r>
    <x v="2"/>
    <s v="2025-35860"/>
    <d v="2025-11-25T00:00:00"/>
    <s v="Brewer"/>
    <s v="Tuesday  "/>
    <s v="09:30:00"/>
    <x v="8"/>
    <s v="None"/>
    <s v="Daylight"/>
    <s v="Rear End / Sideswipe"/>
    <s v="Three Leg Intersection"/>
    <s v="Dry"/>
    <s v="Clear"/>
    <s v="Yes"/>
    <s v="Followed Too Closely"/>
    <s v="No Contributing Action"/>
    <s v="No Contributing Action"/>
    <m/>
    <n v="38309"/>
    <s v="0001A"/>
    <s v="US 1A"/>
    <n v="39.840000000000003"/>
    <n v="1"/>
    <n v="9913.5"/>
    <m/>
    <s v="N"/>
    <s v="N"/>
    <m/>
    <s v="N"/>
    <s v="No"/>
    <s v="No"/>
    <n v="2"/>
    <n v="3"/>
    <n v="0"/>
    <n v="0"/>
    <n v="0"/>
    <n v="0"/>
    <n v="0"/>
    <n v="3"/>
    <s v="PD"/>
    <s v="BACTS"/>
    <n v="9"/>
    <s v="Traffic Signals (Stop &amp; Go)"/>
    <s v="Unknown"/>
    <n v="3"/>
    <s v="Penobscot"/>
    <s v="2025-35860"/>
    <s v="BREWER POLICE DEPARTMENT"/>
    <s v="25-085636"/>
    <n v="44.786902750000003"/>
    <n v="-68.755555079999993"/>
    <n v="11"/>
    <s v="November"/>
    <s v="19050"/>
    <n v="3115152"/>
    <n v="4"/>
    <s v="4 - Eastern Region"/>
    <s v="2"/>
    <s v="Urban"/>
    <s v="NODE"/>
    <n v="135092"/>
    <n v="0"/>
  </r>
  <r>
    <x v="2"/>
    <s v="2020-24313"/>
    <d v="2020-10-12T00:00:00"/>
    <s v="Brewer"/>
    <s v="Monday"/>
    <s v="10:15:00"/>
    <x v="5"/>
    <s v="None"/>
    <s v="Daylight"/>
    <s v="Rear End / Sideswipe"/>
    <s v="Four Leg Intersection"/>
    <s v="Dry"/>
    <s v="Clear"/>
    <s v="Yes"/>
    <s v="Failed to Keep in Proper Lane"/>
    <m/>
    <s v="No Contributing Action"/>
    <m/>
    <n v="39685"/>
    <s v="0001A"/>
    <s v="US 1A"/>
    <n v="39.08"/>
    <n v="1"/>
    <n v="23788.5"/>
    <m/>
    <s v="N"/>
    <s v="N"/>
    <s v="N"/>
    <s v="N"/>
    <s v="No"/>
    <s v="No"/>
    <n v="2"/>
    <n v="3"/>
    <n v="0"/>
    <n v="0"/>
    <n v="0"/>
    <n v="0"/>
    <n v="0"/>
    <n v="3"/>
    <s v="PD"/>
    <s v="BACTS"/>
    <n v="10"/>
    <s v="Traffic Signals (Stop &amp; Go)"/>
    <s v="Unknown"/>
    <n v="2"/>
    <s v="Penobscot"/>
    <s v="2020-24313"/>
    <s v="BREWER POLICE DEPARTMENT"/>
    <s v="20-079176"/>
    <n v="44.794701119999999"/>
    <n v="-68.766163859999992"/>
    <n v="10"/>
    <s v="October"/>
    <s v="19050"/>
    <n v="3111001"/>
    <n v="4"/>
    <s v="4 - Eastern Region"/>
    <s v="2"/>
    <s v="Urban"/>
    <s v="NODE"/>
    <n v="135188"/>
    <n v="0"/>
  </r>
  <r>
    <x v="2"/>
    <s v="2020-23770"/>
    <d v="2020-10-03T00:00:00"/>
    <s v="Brewer"/>
    <s v="Saturday"/>
    <s v="19:55:00"/>
    <x v="5"/>
    <s v="None"/>
    <s v="Dark - Lighted"/>
    <s v="Intersection Movement"/>
    <s v="Four Leg Intersection"/>
    <s v="Dry"/>
    <s v="Clear"/>
    <s v="Yes"/>
    <s v="Failed to Yield Right-of-Way"/>
    <s v="No Contributing Action"/>
    <s v="No Contributing Action"/>
    <m/>
    <n v="39685"/>
    <s v="0001A"/>
    <s v="US 1A"/>
    <n v="39.08"/>
    <n v="1"/>
    <n v="23788.5"/>
    <m/>
    <s v="N"/>
    <s v="N"/>
    <s v="N"/>
    <s v="N"/>
    <s v="No"/>
    <s v="No"/>
    <n v="2"/>
    <n v="3"/>
    <n v="0"/>
    <n v="0"/>
    <n v="0"/>
    <n v="0"/>
    <n v="0"/>
    <n v="3"/>
    <s v="PD"/>
    <s v="BACTS"/>
    <n v="19"/>
    <s v="Traffic Signals (Stop &amp; Go)"/>
    <s v="Unknown"/>
    <n v="7"/>
    <s v="Penobscot"/>
    <s v="2020-23770"/>
    <s v="BREWER POLICE DEPARTMENT"/>
    <s v="20-076865"/>
    <n v="44.794699999999999"/>
    <n v="-68.766159999999999"/>
    <n v="10"/>
    <s v="October"/>
    <s v="19050"/>
    <n v="3111001"/>
    <n v="4"/>
    <s v="4 - Eastern Region"/>
    <s v="2"/>
    <s v="Urban"/>
    <s v="NODE"/>
    <n v="135460"/>
    <n v="0"/>
  </r>
  <r>
    <x v="2"/>
    <s v="2024-20228"/>
    <d v="2024-07-20T00:00:00"/>
    <s v="Brewer"/>
    <s v="Saturday "/>
    <s v="09:02:00"/>
    <x v="4"/>
    <s v="None"/>
    <s v="Daylight"/>
    <s v="Intersection Movement"/>
    <s v="Four Leg Intersection"/>
    <s v="Dry"/>
    <s v="Clear"/>
    <s v="Yes"/>
    <s v="No Contributing Action"/>
    <m/>
    <s v="No Contributing Action"/>
    <m/>
    <n v="39685"/>
    <s v="0001A"/>
    <s v="US 1A"/>
    <n v="39.08"/>
    <n v="1"/>
    <n v="23788.5"/>
    <m/>
    <s v="N"/>
    <s v="N"/>
    <m/>
    <s v="N"/>
    <s v="No"/>
    <s v="Yes"/>
    <n v="2"/>
    <n v="2"/>
    <n v="0"/>
    <n v="0"/>
    <n v="0"/>
    <n v="0"/>
    <n v="0"/>
    <n v="2"/>
    <s v="PD"/>
    <s v="BACTS"/>
    <n v="9"/>
    <s v="Traffic Signals (Stop &amp; Go)"/>
    <s v="Unknown"/>
    <n v="7"/>
    <s v="Penobscot"/>
    <s v="2024-20228"/>
    <s v="BREWER POLICE DEPARTMENT"/>
    <s v="24-053369"/>
    <n v="44.794701119999999"/>
    <n v="-68.766163859999992"/>
    <n v="7"/>
    <s v="July"/>
    <s v="19050"/>
    <n v="3111001"/>
    <n v="4"/>
    <s v="4 - Eastern Region"/>
    <s v="2"/>
    <s v="Urban"/>
    <s v="NODE"/>
    <n v="136426"/>
    <n v="0"/>
  </r>
  <r>
    <x v="2"/>
    <s v="2024-20325"/>
    <d v="2024-07-24T00:00:00"/>
    <s v="Brewer"/>
    <s v="Wednesday"/>
    <s v="11:30:00"/>
    <x v="4"/>
    <s v="None"/>
    <s v="Daylight"/>
    <s v="Bicycle"/>
    <s v="Three Leg Intersection"/>
    <s v="Wet"/>
    <s v="Cloudy"/>
    <s v="Yes"/>
    <s v="Unknown"/>
    <m/>
    <m/>
    <m/>
    <n v="38309"/>
    <s v="0001A"/>
    <s v="US 1A"/>
    <n v="39.840000000000003"/>
    <n v="1"/>
    <n v="9913.5"/>
    <m/>
    <s v="Y"/>
    <s v="N"/>
    <m/>
    <s v="N"/>
    <s v="No"/>
    <s v="No"/>
    <n v="2"/>
    <n v="2"/>
    <n v="0"/>
    <n v="0"/>
    <n v="0"/>
    <n v="0"/>
    <n v="0"/>
    <n v="2"/>
    <s v="PD"/>
    <s v="BACTS"/>
    <n v="11"/>
    <s v="Traffic Signals (Stop &amp; Go)"/>
    <s v="Unknown"/>
    <n v="4"/>
    <s v="Penobscot"/>
    <s v="2024-20325"/>
    <s v="BREWER POLICE DEPARTMENT"/>
    <s v="24-054550"/>
    <n v="44.786902750000003"/>
    <n v="-68.75555507"/>
    <n v="7"/>
    <s v="July"/>
    <s v="19050"/>
    <n v="3115152"/>
    <n v="4"/>
    <s v="4 - Eastern Region"/>
    <s v="2"/>
    <s v="Urban"/>
    <s v="NODE"/>
    <n v="136798"/>
    <n v="0"/>
  </r>
  <r>
    <x v="2"/>
    <s v="2019-4005"/>
    <d v="2019-02-02T00:00:00"/>
    <s v="Brewer"/>
    <s v="Saturday"/>
    <s v="17:50:00"/>
    <x v="6"/>
    <s v="None"/>
    <s v="Dark - Lighted"/>
    <s v="Intersection Movement"/>
    <s v="Four Leg Intersection"/>
    <s v="Wet"/>
    <s v="Clear"/>
    <s v="Yes"/>
    <s v="Failed to Yield Right-of-Way"/>
    <s v="Disregarded Other Traffic Sign"/>
    <s v="No Contributing Action"/>
    <m/>
    <n v="39685"/>
    <s v="0001A"/>
    <s v="US 1A"/>
    <n v="39.08"/>
    <n v="1"/>
    <n v="23788.5"/>
    <m/>
    <s v="N"/>
    <s v="N"/>
    <s v="N"/>
    <s v="N"/>
    <s v="No"/>
    <s v="No"/>
    <n v="2"/>
    <n v="2"/>
    <n v="0"/>
    <n v="0"/>
    <n v="0"/>
    <n v="0"/>
    <n v="0"/>
    <n v="2"/>
    <s v="PD"/>
    <s v="BACTS"/>
    <n v="17"/>
    <s v="Traffic Signals (Stop &amp; Go)"/>
    <s v="Unknown"/>
    <n v="7"/>
    <s v="Penobscot"/>
    <s v="2019-04005"/>
    <s v="BREWER POLICE DEPARTMENT"/>
    <s v="19-008598"/>
    <n v="44.794701119999999"/>
    <n v="-68.766163859999992"/>
    <n v="2"/>
    <s v="February"/>
    <s v="19050"/>
    <n v="3111001"/>
    <n v="4"/>
    <s v="4 - Eastern Region"/>
    <s v="2"/>
    <s v="Urban"/>
    <s v="NODE"/>
    <n v="137454"/>
    <n v="0"/>
  </r>
  <r>
    <x v="2"/>
    <s v="2018-23833"/>
    <d v="2018-08-22T00:00:00"/>
    <s v="Brewer"/>
    <s v="Wednesday"/>
    <s v="21:26:00"/>
    <x v="2"/>
    <s v="None"/>
    <s v="Dark - Lighted"/>
    <s v="Intersection Movement"/>
    <s v="Driveways"/>
    <s v="Dry"/>
    <s v="Clear"/>
    <m/>
    <s v="Unknown"/>
    <m/>
    <m/>
    <m/>
    <m/>
    <s v="0015B"/>
    <s v="ST RTE 15B"/>
    <n v="0.70000000000000007"/>
    <n v="2"/>
    <n v="12893"/>
    <n v="25"/>
    <s v="N"/>
    <s v="N"/>
    <s v="N"/>
    <s v="N"/>
    <s v="No"/>
    <s v="No"/>
    <n v="1"/>
    <n v="1"/>
    <n v="0"/>
    <n v="0"/>
    <n v="0"/>
    <n v="0"/>
    <n v="0"/>
    <n v="1"/>
    <s v="PD"/>
    <s v="BACTS"/>
    <n v="21"/>
    <s v="None"/>
    <s v="Unposted"/>
    <n v="4"/>
    <s v="Penobscot"/>
    <s v="2018-23833"/>
    <s v="BREWER POLICE DEPARTMENT"/>
    <s v="18-066589"/>
    <n v="44.79444668"/>
    <n v="-68.766372259999997"/>
    <n v="8"/>
    <s v="August"/>
    <s v="19050"/>
    <n v="3111000"/>
    <n v="4"/>
    <s v="4 - Eastern Region"/>
    <s v="2"/>
    <s v="Urban"/>
    <s v="ELEMENT"/>
    <n v="139029"/>
    <n v="0.06"/>
  </r>
  <r>
    <x v="2"/>
    <s v="2024-22241"/>
    <d v="2024-08-06T00:00:00"/>
    <s v="Brewer"/>
    <s v="Tuesday  "/>
    <s v="18:45:00"/>
    <x v="4"/>
    <s v="None"/>
    <s v="Daylight"/>
    <s v="Rear End / Sideswipe"/>
    <s v="Four Leg Intersection"/>
    <s v="Dry"/>
    <s v="Clear"/>
    <s v="Yes"/>
    <s v="No Contributing Action"/>
    <m/>
    <s v="No Contributing Action"/>
    <m/>
    <n v="39685"/>
    <s v="0001A"/>
    <s v="US 1A"/>
    <n v="39.08"/>
    <n v="1"/>
    <n v="23788.5"/>
    <m/>
    <s v="N"/>
    <s v="N"/>
    <m/>
    <s v="N"/>
    <s v="No"/>
    <s v="No"/>
    <n v="2"/>
    <n v="2"/>
    <n v="0"/>
    <n v="0"/>
    <n v="0"/>
    <n v="0"/>
    <n v="0"/>
    <n v="2"/>
    <s v="PD"/>
    <s v="BACTS"/>
    <n v="18"/>
    <s v="Traffic Signals (Stop &amp; Go)"/>
    <s v="Unknown"/>
    <n v="3"/>
    <s v="Penobscot"/>
    <s v="2024-22241"/>
    <s v="BREWER POLICE DEPARTMENT"/>
    <s v="24-058454"/>
    <n v="44.794701119999999"/>
    <n v="-68.766163859999992"/>
    <n v="8"/>
    <s v="August"/>
    <s v="19050"/>
    <n v="3111001"/>
    <n v="4"/>
    <s v="4 - Eastern Region"/>
    <s v="2"/>
    <s v="Urban"/>
    <s v="NODE"/>
    <n v="139981"/>
    <n v="0"/>
  </r>
  <r>
    <x v="2"/>
    <s v="2021-24431"/>
    <d v="2021-09-08T00:00:00"/>
    <s v="Brewer"/>
    <s v="Wednesday"/>
    <s v="17:46:00"/>
    <x v="7"/>
    <s v="None"/>
    <s v="Daylight"/>
    <s v="Intersection Movement"/>
    <s v="Four Leg Intersection"/>
    <s v="Dry"/>
    <s v="Clear"/>
    <s v="Yes"/>
    <s v="Improper Turn"/>
    <m/>
    <s v="No Contributing Action"/>
    <m/>
    <n v="39685"/>
    <s v="0001A"/>
    <s v="US 1A"/>
    <n v="39.08"/>
    <n v="1"/>
    <n v="23788.5"/>
    <m/>
    <s v="N"/>
    <s v="N"/>
    <s v="N"/>
    <s v="N"/>
    <s v="No"/>
    <s v="No"/>
    <n v="2"/>
    <n v="3"/>
    <n v="2"/>
    <n v="0"/>
    <n v="0"/>
    <n v="0"/>
    <n v="2"/>
    <n v="1"/>
    <s v="C"/>
    <s v="BACTS"/>
    <n v="17"/>
    <s v="Traffic Signals (Stop &amp; Go)"/>
    <s v="Unknown"/>
    <n v="4"/>
    <s v="Penobscot"/>
    <s v="2021-24431"/>
    <s v="BREWER POLICE DEPARTMENT"/>
    <s v="21-067957"/>
    <n v="44.794701119999999"/>
    <n v="-68.766163859999992"/>
    <n v="9"/>
    <s v="September"/>
    <s v="19050"/>
    <n v="3111001"/>
    <n v="4"/>
    <s v="4 - Eastern Region"/>
    <s v="2"/>
    <s v="Urban"/>
    <s v="NODE"/>
    <n v="152174"/>
    <n v="0"/>
  </r>
  <r>
    <x v="2"/>
    <s v="2018-22119"/>
    <d v="2018-07-18T00:00:00"/>
    <s v="Brewer"/>
    <s v="Wednesday"/>
    <s v="19:09:00"/>
    <x v="2"/>
    <s v="None"/>
    <s v="Daylight"/>
    <s v="Rear End / Sideswipe"/>
    <s v="Four Leg Intersection"/>
    <s v="Dry"/>
    <s v="Clear"/>
    <s v="Yes"/>
    <s v="No Contributing Action"/>
    <m/>
    <s v="Unknown"/>
    <m/>
    <n v="39685"/>
    <s v="0001A"/>
    <s v="US 1A"/>
    <n v="39.08"/>
    <n v="1"/>
    <n v="23788.5"/>
    <m/>
    <s v="N"/>
    <s v="N"/>
    <s v="N"/>
    <s v="N"/>
    <s v="No"/>
    <s v="No"/>
    <n v="2"/>
    <n v="2"/>
    <n v="0"/>
    <n v="0"/>
    <n v="0"/>
    <n v="0"/>
    <n v="0"/>
    <n v="2"/>
    <s v="PD"/>
    <s v="BACTS"/>
    <n v="19"/>
    <s v="Traffic Signals (Stop &amp; Go)"/>
    <s v="Unknown"/>
    <n v="4"/>
    <s v="Penobscot"/>
    <s v="2018-22119"/>
    <s v="BREWER POLICE DEPARTMENT"/>
    <s v="18-055589"/>
    <n v="44.794701119999999"/>
    <n v="-68.766163859999992"/>
    <n v="7"/>
    <s v="July"/>
    <s v="19050"/>
    <n v="3111001"/>
    <n v="4"/>
    <s v="4 - Eastern Region"/>
    <s v="2"/>
    <s v="Urban"/>
    <s v="NODE"/>
    <n v="155432"/>
    <n v="0"/>
  </r>
  <r>
    <x v="2"/>
    <s v="2025-12165"/>
    <d v="2025-04-29T00:00:00"/>
    <s v="Brewer"/>
    <s v="Tuesday  "/>
    <s v="16:15:00"/>
    <x v="8"/>
    <s v="None"/>
    <s v="Daylight"/>
    <s v="Rear End / Sideswipe"/>
    <s v="Four Leg Intersection"/>
    <s v="Dry"/>
    <s v="Clear"/>
    <s v="Yes"/>
    <s v="Other Contributing Action"/>
    <m/>
    <s v="No Contributing Action"/>
    <m/>
    <n v="39685"/>
    <s v="0001A"/>
    <s v="US 1A"/>
    <n v="39.08"/>
    <n v="1"/>
    <n v="23788.5"/>
    <m/>
    <s v="N"/>
    <s v="N"/>
    <m/>
    <s v="N"/>
    <s v="No"/>
    <s v="No"/>
    <n v="2"/>
    <n v="2"/>
    <n v="0"/>
    <n v="0"/>
    <n v="0"/>
    <n v="0"/>
    <n v="0"/>
    <n v="2"/>
    <s v="PD"/>
    <s v="BACTS"/>
    <n v="16"/>
    <s v="Traffic Signals (Stop &amp; Go)"/>
    <s v="Unknown"/>
    <n v="3"/>
    <s v="Penobscot"/>
    <s v="2025-12165"/>
    <s v="BREWER POLICE DEPARTMENT"/>
    <s v="25-029096"/>
    <n v="44.794701119999999"/>
    <n v="-68.766163859999992"/>
    <n v="4"/>
    <s v="April"/>
    <s v="19050"/>
    <n v="3111001"/>
    <n v="4"/>
    <s v="4 - Eastern Region"/>
    <s v="2"/>
    <s v="Urban"/>
    <s v="NODE"/>
    <n v="158047"/>
    <n v="0"/>
  </r>
  <r>
    <x v="2"/>
    <s v="2020-12175"/>
    <d v="2020-05-10T00:00:00"/>
    <s v="Brewer"/>
    <s v="Sunday"/>
    <s v="04:49:00"/>
    <x v="5"/>
    <s v="None"/>
    <s v="Dark - Lighted"/>
    <s v="Other"/>
    <s v="Bridges"/>
    <s v="Dry"/>
    <s v="Clear"/>
    <m/>
    <s v="Other Contributing Action"/>
    <m/>
    <m/>
    <m/>
    <m/>
    <s v="0001A"/>
    <s v="US 1A"/>
    <n v="39.01"/>
    <n v="1"/>
    <n v="14970"/>
    <n v="25"/>
    <s v="N"/>
    <s v="N"/>
    <s v="N"/>
    <s v="N"/>
    <s v="No"/>
    <s v="No"/>
    <n v="1"/>
    <n v="2"/>
    <n v="1"/>
    <n v="0"/>
    <n v="0"/>
    <n v="0"/>
    <n v="1"/>
    <n v="1"/>
    <s v="C"/>
    <s v="BACTS"/>
    <n v="4"/>
    <s v="None"/>
    <s v="Posted"/>
    <n v="1"/>
    <s v="Penobscot"/>
    <s v="2020-12175"/>
    <s v="BREWER POLICE DEPARTMENT"/>
    <s v="20-034223"/>
    <n v="44.795459999999999"/>
    <n v="-68.767150000000001"/>
    <n v="5"/>
    <s v="May"/>
    <s v="19050"/>
    <n v="3111002"/>
    <n v="4"/>
    <s v="4 - Eastern Region"/>
    <s v="2"/>
    <s v="Urban"/>
    <s v="ELEMENT"/>
    <n v="159301"/>
    <n v="7.0000000000000007E-2"/>
  </r>
  <r>
    <x v="2"/>
    <s v="2025-24274"/>
    <d v="2025-08-15T00:00:00"/>
    <s v="Brewer"/>
    <s v="Friday   "/>
    <s v="18:48:00"/>
    <x v="8"/>
    <s v="None"/>
    <s v="Dusk"/>
    <s v="Rear End / Sideswipe"/>
    <s v="Straight Road"/>
    <s v="Dry"/>
    <s v="Clear"/>
    <s v="No"/>
    <s v="Followed Too Closely"/>
    <m/>
    <s v="No Contributing Action"/>
    <m/>
    <m/>
    <s v="0001A"/>
    <s v="US 1A"/>
    <n v="39.31"/>
    <n v="1"/>
    <n v="8737"/>
    <n v="25"/>
    <s v="N"/>
    <s v="N"/>
    <m/>
    <s v="N"/>
    <s v="No"/>
    <s v="No"/>
    <n v="2"/>
    <n v="6"/>
    <n v="0"/>
    <n v="0"/>
    <n v="0"/>
    <n v="0"/>
    <n v="0"/>
    <n v="6"/>
    <s v="PD"/>
    <s v="BACTS"/>
    <n v="18"/>
    <s v="None"/>
    <s v="Posted"/>
    <n v="6"/>
    <s v="Penobscot"/>
    <s v="2025-24274"/>
    <s v="BREWER POLICE DEPARTMENT"/>
    <s v="25-059059"/>
    <n v="44.792630449999997"/>
    <n v="-68.762553130000001"/>
    <n v="8"/>
    <s v="August"/>
    <s v="19050"/>
    <n v="3944111"/>
    <n v="4"/>
    <s v="4 - Eastern Region"/>
    <s v="2"/>
    <s v="Urban"/>
    <s v="ELEMENT"/>
    <n v="159937"/>
    <n v="0.14000000000000001"/>
  </r>
  <r>
    <x v="2"/>
    <s v="2025-21239"/>
    <d v="2025-07-25T00:00:00"/>
    <s v="Brewer"/>
    <s v="Friday   "/>
    <s v="09:24:00"/>
    <x v="8"/>
    <s v="None"/>
    <s v="Daylight"/>
    <s v="Rear End / Sideswipe"/>
    <s v="Four Leg Intersection"/>
    <s v="Dry"/>
    <s v="Clear"/>
    <s v="No"/>
    <s v="Failed to Yield Right-of-Way"/>
    <m/>
    <s v="No Contributing Action"/>
    <m/>
    <n v="39685"/>
    <s v="0001A"/>
    <s v="US 1A"/>
    <n v="39.08"/>
    <n v="1"/>
    <n v="23788.5"/>
    <m/>
    <s v="N"/>
    <s v="N"/>
    <m/>
    <s v="N"/>
    <s v="No"/>
    <s v="No"/>
    <n v="3"/>
    <n v="7"/>
    <n v="0"/>
    <n v="0"/>
    <n v="0"/>
    <n v="0"/>
    <n v="0"/>
    <n v="7"/>
    <s v="PD"/>
    <s v="BACTS"/>
    <n v="9"/>
    <s v="Traffic Signals (Stop &amp; Go)"/>
    <s v="Unknown"/>
    <n v="6"/>
    <s v="Penobscot"/>
    <s v="2025-21239"/>
    <s v="BREWER POLICE DEPARTMENT"/>
    <s v="25-052699"/>
    <n v="44.794701119999999"/>
    <n v="-68.766163859999992"/>
    <n v="7"/>
    <s v="July"/>
    <s v="19050"/>
    <n v="3111001"/>
    <n v="4"/>
    <s v="4 - Eastern Region"/>
    <s v="2"/>
    <s v="Urban"/>
    <s v="NODE"/>
    <n v="169312"/>
    <n v="0"/>
  </r>
  <r>
    <x v="2"/>
    <s v="2018-1902"/>
    <d v="2018-01-15T00:00:00"/>
    <s v="Brewer"/>
    <s v="Monday"/>
    <s v="17:38:00"/>
    <x v="2"/>
    <s v="None"/>
    <s v="Dark - Lighted"/>
    <s v="Pedestrians"/>
    <s v="Four Leg Intersection"/>
    <s v="Ice/Frost"/>
    <s v="Clear"/>
    <s v="Yes"/>
    <m/>
    <m/>
    <s v="No Contributing Action"/>
    <m/>
    <n v="39685"/>
    <s v="0001A"/>
    <s v="US 1A"/>
    <n v="39.08"/>
    <n v="1"/>
    <n v="23788.5"/>
    <m/>
    <s v="N"/>
    <s v="Y"/>
    <s v="N"/>
    <s v="N"/>
    <s v="No"/>
    <s v="No"/>
    <n v="2"/>
    <n v="2"/>
    <n v="1"/>
    <n v="0"/>
    <n v="0"/>
    <n v="1"/>
    <n v="0"/>
    <n v="1"/>
    <s v="B"/>
    <s v="BACTS"/>
    <n v="17"/>
    <s v="Traffic Signals (Stop &amp; Go)"/>
    <s v="Unknown"/>
    <n v="2"/>
    <s v="Penobscot"/>
    <s v="2018-01902"/>
    <s v="BREWER POLICE DEPARTMENT"/>
    <s v="18-003634"/>
    <n v="44.794701119999999"/>
    <n v="-68.766163859999992"/>
    <n v="1"/>
    <s v="January"/>
    <s v="19050"/>
    <n v="3111001"/>
    <n v="4"/>
    <s v="4 - Eastern Region"/>
    <s v="2"/>
    <s v="Urban"/>
    <s v="NODE"/>
    <n v="172963"/>
    <n v="0"/>
  </r>
  <r>
    <x v="2"/>
    <s v="2025-8397"/>
    <d v="2025-03-19T00:00:00"/>
    <s v="Brewer"/>
    <s v="Wednesday"/>
    <s v="15:10:00"/>
    <x v="8"/>
    <s v="None"/>
    <s v="Daylight"/>
    <s v="Rear End / Sideswipe"/>
    <s v="Straight Road"/>
    <s v="Dry"/>
    <s v="Clear"/>
    <m/>
    <s v="Failed to Yield Right-of-Way"/>
    <m/>
    <s v="No Contributing Action"/>
    <m/>
    <m/>
    <s v="0001A"/>
    <s v="US 1A"/>
    <n v="39.33"/>
    <n v="1"/>
    <n v="8737"/>
    <n v="25"/>
    <s v="N"/>
    <s v="N"/>
    <m/>
    <s v="N"/>
    <s v="No"/>
    <s v="No"/>
    <n v="2"/>
    <n v="2"/>
    <n v="0"/>
    <n v="0"/>
    <n v="0"/>
    <n v="0"/>
    <n v="0"/>
    <n v="2"/>
    <s v="PD"/>
    <s v="BACTS"/>
    <n v="15"/>
    <s v="None"/>
    <s v="Posted"/>
    <n v="4"/>
    <s v="Penobscot"/>
    <s v="2025-08397"/>
    <s v="BREWER POLICE DEPARTMENT"/>
    <s v="25-018731"/>
    <n v="44.792442860000001"/>
    <n v="-68.76232388999999"/>
    <n v="3"/>
    <s v="March"/>
    <s v="19050"/>
    <n v="3944111"/>
    <n v="4"/>
    <s v="4 - Eastern Region"/>
    <s v="2"/>
    <s v="Urban"/>
    <s v="ELEMENT"/>
    <n v="174436"/>
    <n v="0.12"/>
  </r>
  <r>
    <x v="2"/>
    <s v="2025-8787"/>
    <d v="2025-03-24T00:00:00"/>
    <s v="Brewer"/>
    <s v="Monday   "/>
    <s v="20:18:00"/>
    <x v="8"/>
    <s v="Road Surface Condition (Wet, Icy, Snow, Slush, etc.)"/>
    <s v="Dark - Lighted"/>
    <s v="Intersection Movement"/>
    <s v="Driveways"/>
    <s v="Snow"/>
    <s v="Snow"/>
    <m/>
    <s v="Improper Backing"/>
    <m/>
    <s v="No Contributing Action"/>
    <m/>
    <m/>
    <s v="0001A"/>
    <s v="US 1A"/>
    <n v="39.159999999999997"/>
    <n v="1"/>
    <n v="8494"/>
    <n v="25"/>
    <s v="N"/>
    <s v="N"/>
    <m/>
    <s v="N"/>
    <s v="No"/>
    <s v="No"/>
    <n v="2"/>
    <n v="2"/>
    <n v="0"/>
    <n v="0"/>
    <n v="0"/>
    <n v="0"/>
    <n v="0"/>
    <n v="2"/>
    <s v="PD"/>
    <s v="BACTS"/>
    <n v="20"/>
    <s v="None"/>
    <s v="Posted"/>
    <n v="2"/>
    <s v="Penobscot"/>
    <s v="2025-08787"/>
    <s v="BREWER POLICE DEPARTMENT"/>
    <s v="25-020042"/>
    <n v="44.794061789999994"/>
    <n v="-68.764781440000007"/>
    <n v="3"/>
    <s v="March"/>
    <s v="19050"/>
    <n v="3119550"/>
    <n v="4"/>
    <s v="4 - Eastern Region"/>
    <s v="2"/>
    <s v="Urban"/>
    <s v="ELEMENT"/>
    <n v="174574"/>
    <n v="0.08"/>
  </r>
  <r>
    <x v="2"/>
    <s v="2023-26325"/>
    <d v="2023-09-09T00:00:00"/>
    <s v="Brewer"/>
    <s v="Saturday "/>
    <s v="13:33:00"/>
    <x v="0"/>
    <s v="None"/>
    <s v="Daylight"/>
    <s v="Rear End / Sideswipe"/>
    <s v="Four Leg Intersection"/>
    <s v="Dry"/>
    <s v="Clear"/>
    <s v="Yes"/>
    <s v="Followed Too Closely"/>
    <m/>
    <s v="No Contributing Action"/>
    <m/>
    <n v="39685"/>
    <s v="0001A"/>
    <s v="US 1A"/>
    <n v="39.08"/>
    <n v="1"/>
    <n v="23788.5"/>
    <m/>
    <s v="N"/>
    <s v="N"/>
    <m/>
    <s v="N"/>
    <s v="No"/>
    <s v="No"/>
    <n v="2"/>
    <n v="2"/>
    <n v="1"/>
    <n v="0"/>
    <n v="0"/>
    <n v="0"/>
    <n v="1"/>
    <n v="1"/>
    <s v="C"/>
    <s v="BACTS"/>
    <n v="13"/>
    <s v="Traffic Signals (Stop &amp; Go)"/>
    <s v="Unknown"/>
    <n v="7"/>
    <s v="Penobscot"/>
    <s v="2023-26325"/>
    <s v="BREWER POLICE DEPARTMENT"/>
    <s v="23-070454"/>
    <n v="44.794701119999999"/>
    <n v="-68.766163859999992"/>
    <n v="9"/>
    <s v="September"/>
    <s v="19050"/>
    <n v="3111001"/>
    <n v="4"/>
    <s v="4 - Eastern Region"/>
    <s v="2"/>
    <s v="Urban"/>
    <s v="NODE"/>
    <n v="178956"/>
    <n v="0"/>
  </r>
  <r>
    <x v="2"/>
    <s v="2022-28297"/>
    <d v="2022-10-05T00:00:00"/>
    <s v="Brewer"/>
    <s v="Wednesday"/>
    <s v="13:24:00"/>
    <x v="3"/>
    <s v="None"/>
    <s v="Daylight"/>
    <s v="Rear End / Sideswipe"/>
    <s v="Three Leg Intersection"/>
    <s v="Dry"/>
    <s v="Clear"/>
    <m/>
    <s v="Failed to Yield Right-of-Way"/>
    <m/>
    <s v="No Contributing Action"/>
    <m/>
    <n v="60190"/>
    <s v="0001A"/>
    <s v="US 1A"/>
    <n v="39.9"/>
    <n v="1"/>
    <n v="9615"/>
    <m/>
    <s v="N"/>
    <s v="N"/>
    <m/>
    <s v="N"/>
    <s v="No"/>
    <s v="No"/>
    <n v="2"/>
    <n v="4"/>
    <n v="1"/>
    <n v="0"/>
    <n v="0"/>
    <n v="0"/>
    <n v="1"/>
    <n v="3"/>
    <s v="C"/>
    <s v="BACTS"/>
    <n v="13"/>
    <s v="None"/>
    <s v="Unknown"/>
    <n v="4"/>
    <s v="Penobscot"/>
    <s v="2022-28297"/>
    <s v="BREWER POLICE DEPARTMENT"/>
    <s v="22-075485"/>
    <n v="44.786212319999997"/>
    <n v="-68.754702559999998"/>
    <n v="10"/>
    <s v="October"/>
    <s v="19050"/>
    <n v="2071517"/>
    <n v="4"/>
    <s v="4 - Eastern Region"/>
    <s v="2"/>
    <s v="Urban"/>
    <s v="NODE"/>
    <n v="179704"/>
    <n v="0"/>
  </r>
  <r>
    <x v="2"/>
    <s v="2020-24277"/>
    <d v="2020-10-11T00:00:00"/>
    <s v="Brewer"/>
    <s v="Sunday"/>
    <s v="13:31:00"/>
    <x v="5"/>
    <s v="None"/>
    <s v="Daylight"/>
    <s v="Rear End / Sideswipe"/>
    <s v="Straight Road"/>
    <s v="Dry"/>
    <s v="Clear"/>
    <s v="Yes"/>
    <s v="Other Contributing Action"/>
    <m/>
    <s v="No Contributing Action"/>
    <m/>
    <m/>
    <s v="0001A"/>
    <s v="US 1A"/>
    <n v="39.07"/>
    <n v="1"/>
    <n v="14970"/>
    <n v="25"/>
    <s v="N"/>
    <s v="N"/>
    <s v="N"/>
    <s v="N"/>
    <s v="No"/>
    <s v="No"/>
    <n v="2"/>
    <n v="5"/>
    <n v="0"/>
    <n v="0"/>
    <n v="0"/>
    <n v="0"/>
    <n v="0"/>
    <n v="5"/>
    <s v="PD"/>
    <s v="BACTS"/>
    <n v="13"/>
    <s v="Traffic Signals (Stop &amp; Go)"/>
    <s v="Posted"/>
    <n v="1"/>
    <s v="Penobscot"/>
    <s v="2020-24277"/>
    <s v="BREWER POLICE DEPARTMENT"/>
    <s v="20-078993"/>
    <n v="44.794770380000003"/>
    <n v="-68.766257229999994"/>
    <n v="10"/>
    <s v="October"/>
    <s v="19050"/>
    <n v="3111002"/>
    <n v="4"/>
    <s v="4 - Eastern Region"/>
    <s v="2"/>
    <s v="Urban"/>
    <s v="ELEMENT"/>
    <n v="182207"/>
    <n v="0.01"/>
  </r>
  <r>
    <x v="2"/>
    <s v="2020-5376"/>
    <d v="2020-02-17T00:00:00"/>
    <s v="Brewer"/>
    <s v="Monday"/>
    <s v="12:15:00"/>
    <x v="5"/>
    <s v="None"/>
    <s v="Daylight"/>
    <s v="Rear End / Sideswipe"/>
    <s v="Four Leg Intersection"/>
    <s v="Dry"/>
    <s v="Clear"/>
    <s v="Yes"/>
    <s v="Followed Too Closely"/>
    <m/>
    <s v="No Contributing Action"/>
    <m/>
    <n v="39685"/>
    <s v="0001A"/>
    <s v="US 1A"/>
    <n v="39.08"/>
    <n v="1"/>
    <n v="23788.5"/>
    <m/>
    <s v="N"/>
    <s v="N"/>
    <s v="N"/>
    <s v="N"/>
    <s v="No"/>
    <s v="No"/>
    <n v="2"/>
    <n v="2"/>
    <n v="0"/>
    <n v="0"/>
    <n v="0"/>
    <n v="0"/>
    <n v="0"/>
    <n v="2"/>
    <s v="PD"/>
    <s v="BACTS"/>
    <n v="12"/>
    <s v="Traffic Signals (Stop &amp; Go)"/>
    <s v="Unknown"/>
    <n v="2"/>
    <s v="Penobscot"/>
    <s v="2020-05376"/>
    <s v="BREWER POLICE DEPARTMENT"/>
    <s v="20-013313"/>
    <n v="44.794701119999999"/>
    <n v="-68.766163859999992"/>
    <n v="2"/>
    <s v="February"/>
    <s v="19050"/>
    <n v="3111001"/>
    <n v="4"/>
    <s v="4 - Eastern Region"/>
    <s v="2"/>
    <s v="Urban"/>
    <s v="NODE"/>
    <n v="184432"/>
    <n v="0"/>
  </r>
  <r>
    <x v="2"/>
    <s v="2025-22591"/>
    <d v="2025-08-06T00:00:00"/>
    <s v="Brewer"/>
    <s v="Wednesday"/>
    <s v="12:05:00"/>
    <x v="8"/>
    <s v="None"/>
    <s v="Daylight"/>
    <s v="Rear End / Sideswipe"/>
    <s v="Three Leg Intersection"/>
    <s v="Dry"/>
    <s v="Clear"/>
    <m/>
    <s v="No Contributing Action"/>
    <m/>
    <s v="No Contributing Action"/>
    <m/>
    <n v="38309"/>
    <s v="0001A"/>
    <s v="US 1A"/>
    <n v="39.840000000000003"/>
    <n v="1"/>
    <n v="9913.5"/>
    <m/>
    <s v="N"/>
    <s v="N"/>
    <m/>
    <s v="N"/>
    <s v="No"/>
    <s v="No"/>
    <n v="3"/>
    <n v="7"/>
    <n v="3"/>
    <n v="0"/>
    <n v="0"/>
    <n v="0"/>
    <n v="3"/>
    <n v="4"/>
    <s v="C"/>
    <s v="BACTS"/>
    <n v="12"/>
    <s v="None"/>
    <s v="Unknown"/>
    <n v="4"/>
    <s v="Penobscot"/>
    <s v="2025-22591"/>
    <s v="BREWER POLICE DEPARTMENT"/>
    <s v="25-056247"/>
    <n v="44.786902750000003"/>
    <n v="-68.75555507"/>
    <n v="8"/>
    <s v="August"/>
    <s v="19050"/>
    <n v="3115152"/>
    <n v="4"/>
    <s v="4 - Eastern Region"/>
    <s v="2"/>
    <s v="Urban"/>
    <s v="NODE"/>
    <n v="184965"/>
    <n v="0"/>
  </r>
  <r>
    <x v="2"/>
    <s v="2022-27875"/>
    <d v="2022-09-30T00:00:00"/>
    <s v="Brewer"/>
    <s v="Friday"/>
    <s v="17:15:00"/>
    <x v="3"/>
    <s v="None"/>
    <s v="Daylight"/>
    <s v="Rear End / Sideswipe"/>
    <s v="Four Leg Intersection"/>
    <s v="Dry"/>
    <s v="Clear"/>
    <s v="Yes"/>
    <s v="Followed Too Closely"/>
    <m/>
    <s v="No Contributing Action"/>
    <m/>
    <n v="39685"/>
    <s v="0001A"/>
    <s v="US 1A"/>
    <n v="39.08"/>
    <n v="1"/>
    <n v="23788.5"/>
    <m/>
    <s v="N"/>
    <s v="N"/>
    <m/>
    <s v="N"/>
    <s v="No"/>
    <s v="No"/>
    <n v="2"/>
    <n v="3"/>
    <n v="2"/>
    <n v="0"/>
    <n v="0"/>
    <n v="0"/>
    <n v="2"/>
    <n v="1"/>
    <s v="C"/>
    <s v="BACTS"/>
    <n v="17"/>
    <s v="Traffic Signals (Stop &amp; Go)"/>
    <s v="Unknown"/>
    <n v="6"/>
    <s v="Penobscot"/>
    <s v="2022-27875"/>
    <s v="BREWER POLICE DEPARTMENT"/>
    <s v="22-074169"/>
    <n v="44.794701119999999"/>
    <n v="-68.766163859999992"/>
    <n v="9"/>
    <s v="September"/>
    <s v="19050"/>
    <n v="3111001"/>
    <n v="4"/>
    <s v="4 - Eastern Region"/>
    <s v="2"/>
    <s v="Urban"/>
    <s v="NODE"/>
    <n v="185168"/>
    <n v="0"/>
  </r>
  <r>
    <x v="2"/>
    <s v="2025-21240"/>
    <d v="2025-07-27T00:00:00"/>
    <s v="Brewer"/>
    <s v="Sunday   "/>
    <s v="14:39:00"/>
    <x v="8"/>
    <s v="None"/>
    <s v="Daylight"/>
    <s v="Rear End / Sideswipe"/>
    <s v="Four Leg Intersection"/>
    <s v="Dry"/>
    <s v="Cloudy"/>
    <s v="Unknown"/>
    <s v="No Contributing Action"/>
    <m/>
    <s v="No Contributing Action"/>
    <m/>
    <n v="39685"/>
    <s v="0001A"/>
    <s v="US 1A"/>
    <n v="39.08"/>
    <n v="1"/>
    <n v="23788.5"/>
    <m/>
    <s v="N"/>
    <s v="N"/>
    <m/>
    <s v="N"/>
    <s v="No"/>
    <s v="No"/>
    <n v="2"/>
    <n v="2"/>
    <n v="0"/>
    <n v="0"/>
    <n v="0"/>
    <n v="0"/>
    <n v="0"/>
    <n v="2"/>
    <s v="PD"/>
    <s v="BACTS"/>
    <n v="14"/>
    <s v="Traffic Signals (Stop &amp; Go)"/>
    <s v="Unknown"/>
    <n v="1"/>
    <s v="Penobscot"/>
    <s v="2025-21240"/>
    <s v="BREWER POLICE DEPARTMENT"/>
    <s v="25-053480"/>
    <n v="44.794701119999999"/>
    <n v="-68.766163859999992"/>
    <n v="7"/>
    <s v="July"/>
    <s v="19050"/>
    <n v="3111001"/>
    <n v="4"/>
    <s v="4 - Eastern Region"/>
    <s v="2"/>
    <s v="Urban"/>
    <s v="NODE"/>
    <n v="185978"/>
    <n v="0"/>
  </r>
  <r>
    <x v="2"/>
    <s v="2019-48463"/>
    <d v="2019-04-09T00:00:00"/>
    <s v="Brewer"/>
    <s v="Tuesday"/>
    <s v="19:08:00"/>
    <x v="6"/>
    <s v="Road Surface Condition (Wet, Icy, Snow, Slush, etc.)"/>
    <s v="Daylight"/>
    <s v="Intersection Movement"/>
    <s v="Four Leg Intersection"/>
    <s v="Snow"/>
    <s v="Snow"/>
    <s v="Yes"/>
    <s v="Failed to Yield Right-of-Way"/>
    <m/>
    <s v="No Contributing Action"/>
    <m/>
    <n v="39685"/>
    <s v="0001A"/>
    <s v="US 1A"/>
    <n v="39.08"/>
    <n v="1"/>
    <n v="23788.5"/>
    <m/>
    <s v="N"/>
    <s v="N"/>
    <s v="N"/>
    <s v="N"/>
    <s v="No"/>
    <s v="No"/>
    <n v="2"/>
    <n v="3"/>
    <n v="0"/>
    <n v="0"/>
    <n v="0"/>
    <n v="0"/>
    <n v="0"/>
    <n v="3"/>
    <s v="PD"/>
    <s v="BACTS"/>
    <n v="19"/>
    <s v="Traffic Signals (Stop &amp; Go)"/>
    <s v="Unknown"/>
    <n v="3"/>
    <s v="Penobscot"/>
    <s v="2019-48463"/>
    <s v="BREWER POLICE DEPARTMENT"/>
    <s v="19-026241"/>
    <n v="44.794701119999999"/>
    <n v="-68.766163859999992"/>
    <n v="4"/>
    <s v="April"/>
    <s v="19050"/>
    <n v="3111001"/>
    <n v="4"/>
    <s v="4 - Eastern Region"/>
    <s v="2"/>
    <s v="Urban"/>
    <s v="NODE"/>
    <n v="188024"/>
    <n v="0"/>
  </r>
  <r>
    <x v="2"/>
    <s v="2022-27705"/>
    <d v="2022-09-28T00:00:00"/>
    <s v="Brewer"/>
    <s v="Wednesday"/>
    <s v="18:11:00"/>
    <x v="3"/>
    <s v="None"/>
    <s v="Daylight"/>
    <s v="Intersection Movement"/>
    <s v="Four Leg Intersection"/>
    <s v="Dry"/>
    <s v="Clear"/>
    <s v="Yes"/>
    <s v="Failed to Yield Right-of-Way"/>
    <m/>
    <s v="No Contributing Action"/>
    <m/>
    <n v="39685"/>
    <s v="0001A"/>
    <s v="US 1A"/>
    <n v="39.08"/>
    <n v="1"/>
    <n v="23788.5"/>
    <m/>
    <s v="N"/>
    <s v="N"/>
    <m/>
    <s v="Y"/>
    <s v="No"/>
    <s v="No"/>
    <n v="2"/>
    <n v="2"/>
    <n v="1"/>
    <n v="0"/>
    <n v="0"/>
    <n v="1"/>
    <n v="0"/>
    <n v="1"/>
    <s v="B"/>
    <s v="BACTS"/>
    <n v="18"/>
    <s v="Traffic Signals (Stop &amp; Go)"/>
    <s v="Unknown"/>
    <n v="4"/>
    <s v="Penobscot"/>
    <s v="2022-27705"/>
    <s v="BREWER POLICE DEPARTMENT"/>
    <s v="22-073542"/>
    <n v="44.794699999999999"/>
    <n v="-68.766159999999999"/>
    <n v="9"/>
    <s v="September"/>
    <s v="19050"/>
    <n v="3111001"/>
    <n v="4"/>
    <s v="4 - Eastern Region"/>
    <s v="2"/>
    <s v="Urban"/>
    <s v="NODE"/>
    <n v="190472"/>
    <n v="0"/>
  </r>
  <r>
    <x v="2"/>
    <s v="2023-16022"/>
    <d v="2023-05-21T00:00:00"/>
    <s v="Brewer"/>
    <s v="Sunday"/>
    <s v="13:26:00"/>
    <x v="0"/>
    <s v="None"/>
    <s v="Daylight"/>
    <s v="Rear End / Sideswipe"/>
    <s v="Four Leg Intersection"/>
    <s v="Dry"/>
    <s v="Clear"/>
    <s v="No"/>
    <s v="Other Contributing Action"/>
    <m/>
    <s v="No Contributing Action"/>
    <m/>
    <n v="39685"/>
    <s v="0001A"/>
    <s v="US 1A"/>
    <n v="39.08"/>
    <n v="1"/>
    <n v="23788.5"/>
    <m/>
    <s v="N"/>
    <s v="N"/>
    <m/>
    <s v="N"/>
    <s v="No"/>
    <s v="No"/>
    <n v="2"/>
    <n v="5"/>
    <n v="0"/>
    <n v="0"/>
    <n v="0"/>
    <n v="0"/>
    <n v="0"/>
    <n v="5"/>
    <s v="PD"/>
    <s v="BACTS"/>
    <n v="13"/>
    <s v="Traffic Signals (Stop &amp; Go)"/>
    <s v="Unknown"/>
    <n v="1"/>
    <s v="Penobscot"/>
    <s v="2023-16022"/>
    <s v="BREWER POLICE DEPARTMENT"/>
    <s v="23-037471"/>
    <n v="44.794701119999999"/>
    <n v="-68.766163859999992"/>
    <n v="5"/>
    <s v="May"/>
    <s v="19050"/>
    <n v="3111001"/>
    <n v="4"/>
    <s v="4 - Eastern Region"/>
    <s v="2"/>
    <s v="Urban"/>
    <s v="NODE"/>
    <n v="191022"/>
    <n v="0"/>
  </r>
  <r>
    <x v="2"/>
    <s v="2023-29766"/>
    <d v="2023-10-13T00:00:00"/>
    <s v="Brewer"/>
    <s v="Friday   "/>
    <s v="18:53:00"/>
    <x v="0"/>
    <s v="None"/>
    <s v="Dark - Lighted"/>
    <s v="Intersection Movement"/>
    <s v="Three Leg Intersection"/>
    <s v="Dry"/>
    <s v="Clear"/>
    <s v="Yes"/>
    <s v="Failed to Yield Right-of-Way"/>
    <m/>
    <s v="No Contributing Action"/>
    <m/>
    <n v="38309"/>
    <s v="0001A"/>
    <s v="US 1A"/>
    <n v="39.840000000000003"/>
    <n v="1"/>
    <n v="9913.5"/>
    <m/>
    <s v="N"/>
    <s v="N"/>
    <m/>
    <s v="N"/>
    <s v="No"/>
    <s v="No"/>
    <n v="2"/>
    <n v="2"/>
    <n v="0"/>
    <n v="0"/>
    <n v="0"/>
    <n v="0"/>
    <n v="0"/>
    <n v="2"/>
    <s v="PD"/>
    <s v="BACTS"/>
    <n v="18"/>
    <s v="Traffic Signals (Stop &amp; Go)"/>
    <s v="Unknown"/>
    <n v="6"/>
    <s v="Penobscot"/>
    <s v="2023-29766"/>
    <s v="BREWER POLICE DEPARTMENT"/>
    <s v="23-080594"/>
    <n v="44.786902750000003"/>
    <n v="-68.75555507"/>
    <n v="10"/>
    <s v="October"/>
    <s v="19050"/>
    <n v="3115152"/>
    <n v="4"/>
    <s v="4 - Eastern Region"/>
    <s v="2"/>
    <s v="Urban"/>
    <s v="NODE"/>
    <n v="199968"/>
    <n v="0"/>
  </r>
  <r>
    <x v="2"/>
    <s v="2023-29623"/>
    <d v="2023-10-11T00:00:00"/>
    <s v="Brewer"/>
    <s v="Wednesday"/>
    <s v="16:07:00"/>
    <x v="0"/>
    <s v="None"/>
    <s v="Daylight"/>
    <s v="Rear End / Sideswipe"/>
    <s v="Four Leg Intersection"/>
    <s v="Dry"/>
    <s v="Clear"/>
    <s v="Yes"/>
    <s v="Other Contributing Action"/>
    <m/>
    <s v="No Contributing Action"/>
    <m/>
    <n v="39685"/>
    <s v="0001A"/>
    <s v="US 1A"/>
    <n v="39.08"/>
    <n v="1"/>
    <n v="23788.5"/>
    <m/>
    <s v="N"/>
    <s v="N"/>
    <m/>
    <s v="N"/>
    <s v="No"/>
    <s v="No"/>
    <n v="2"/>
    <n v="2"/>
    <n v="0"/>
    <n v="0"/>
    <n v="0"/>
    <n v="0"/>
    <n v="0"/>
    <n v="2"/>
    <s v="PD"/>
    <s v="BACTS"/>
    <n v="16"/>
    <s v="Traffic Signals (Stop &amp; Go)"/>
    <s v="Unknown"/>
    <n v="4"/>
    <s v="Penobscot"/>
    <s v="2023-29623"/>
    <s v="BREWER POLICE DEPARTMENT"/>
    <s v="23-079609"/>
    <n v="44.794701119999999"/>
    <n v="-68.766163859999992"/>
    <n v="10"/>
    <s v="October"/>
    <s v="19050"/>
    <n v="3111001"/>
    <n v="4"/>
    <s v="4 - Eastern Region"/>
    <s v="2"/>
    <s v="Urban"/>
    <s v="NODE"/>
    <n v="199987"/>
    <n v="0"/>
  </r>
  <r>
    <x v="2"/>
    <s v="2019-70494"/>
    <d v="2019-11-07T00:00:00"/>
    <s v="Brewer"/>
    <s v="Thursday"/>
    <s v="00:06:00"/>
    <x v="6"/>
    <s v="None"/>
    <s v="Dark - Lighted"/>
    <s v="Bicycle"/>
    <s v="Straight Road"/>
    <s v="Dry"/>
    <s v="Clear"/>
    <m/>
    <s v="Improper Turn"/>
    <m/>
    <m/>
    <m/>
    <m/>
    <s v="0001A"/>
    <s v="US 1A"/>
    <n v="39.31"/>
    <n v="1"/>
    <n v="8737"/>
    <n v="25"/>
    <s v="Y"/>
    <s v="N"/>
    <s v="N"/>
    <s v="N"/>
    <s v="No"/>
    <s v="No"/>
    <n v="2"/>
    <n v="2"/>
    <n v="1"/>
    <n v="0"/>
    <n v="1"/>
    <n v="0"/>
    <n v="0"/>
    <n v="1"/>
    <s v="A"/>
    <s v="BACTS"/>
    <n v="0"/>
    <s v="None"/>
    <s v="Posted"/>
    <n v="5"/>
    <s v="Penobscot"/>
    <s v="2019-70494"/>
    <s v="BANGOR POLICE DEPARTMENT"/>
    <s v="19-091620"/>
    <n v="44.792677730000001"/>
    <n v="-68.762610910000006"/>
    <n v="11"/>
    <s v="November"/>
    <s v="19050"/>
    <n v="3944111"/>
    <n v="4"/>
    <s v="4 - Eastern Region"/>
    <s v="2"/>
    <s v="Urban"/>
    <s v="ELEMENT"/>
    <n v="202014"/>
    <n v="0.14000000000000001"/>
  </r>
  <r>
    <x v="2"/>
    <s v="2020-16671"/>
    <d v="2020-07-14T00:00:00"/>
    <s v="Brewer"/>
    <s v="Tuesday"/>
    <s v="11:14:00"/>
    <x v="5"/>
    <s v="None"/>
    <s v="Daylight"/>
    <s v="Intersection Movement"/>
    <s v="Four Leg Intersection"/>
    <s v="Dry"/>
    <s v="Cloudy"/>
    <s v="Yes"/>
    <s v="Ran Red Light"/>
    <m/>
    <s v="No Contributing Action"/>
    <m/>
    <n v="39685"/>
    <s v="0001A"/>
    <s v="US 1A"/>
    <n v="39.08"/>
    <n v="1"/>
    <n v="23788.5"/>
    <m/>
    <s v="N"/>
    <s v="N"/>
    <s v="N"/>
    <s v="N"/>
    <s v="No"/>
    <s v="No"/>
    <n v="2"/>
    <n v="4"/>
    <n v="1"/>
    <n v="0"/>
    <n v="0"/>
    <n v="1"/>
    <n v="0"/>
    <n v="3"/>
    <s v="B"/>
    <s v="BACTS"/>
    <n v="11"/>
    <s v="Traffic Signals (Stop &amp; Go)"/>
    <s v="Unknown"/>
    <n v="3"/>
    <s v="Penobscot"/>
    <s v="2020-16671"/>
    <s v="BREWER POLICE DEPARTMENT"/>
    <s v="20-052549"/>
    <n v="44.794701119999999"/>
    <n v="-68.766163859999992"/>
    <n v="7"/>
    <s v="July"/>
    <s v="19050"/>
    <n v="3111001"/>
    <n v="4"/>
    <s v="4 - Eastern Region"/>
    <s v="2"/>
    <s v="Urban"/>
    <s v="NODE"/>
    <n v="203334"/>
    <n v="0"/>
  </r>
  <r>
    <x v="2"/>
    <s v="2018-36139"/>
    <d v="2018-11-17T00:00:00"/>
    <s v="Brewer"/>
    <s v="Saturday"/>
    <s v="13:01:00"/>
    <x v="2"/>
    <s v="None"/>
    <s v="Daylight"/>
    <s v="Intersection Movement"/>
    <s v="Driveways"/>
    <s v="Wet"/>
    <s v="Clear"/>
    <s v="Yes"/>
    <s v="Failed to Yield Right-of-Way"/>
    <m/>
    <s v="No Contributing Action"/>
    <m/>
    <m/>
    <s v="001AS"/>
    <s v="US 1AS"/>
    <n v="0.42"/>
    <n v="1"/>
    <n v="4387"/>
    <n v="25"/>
    <s v="N"/>
    <s v="N"/>
    <s v="N"/>
    <s v="N"/>
    <s v="No"/>
    <s v="No"/>
    <n v="2"/>
    <n v="3"/>
    <n v="0"/>
    <n v="0"/>
    <n v="0"/>
    <n v="0"/>
    <n v="0"/>
    <n v="3"/>
    <s v="PD"/>
    <s v="BACTS"/>
    <n v="13"/>
    <s v="Traffic Signals (Stop &amp; Go)"/>
    <s v="Posted"/>
    <n v="7"/>
    <s v="Penobscot"/>
    <s v="2018-36139"/>
    <s v="BREWER POLICE DEPARTMENT"/>
    <s v="18-092852"/>
    <n v="44.785038789999987"/>
    <n v="-68.753184630000007"/>
    <n v="11"/>
    <s v="November"/>
    <s v="19050"/>
    <n v="3111272"/>
    <n v="4"/>
    <s v="4 - Eastern Region"/>
    <s v="2"/>
    <s v="Urban"/>
    <s v="ELEMENT"/>
    <n v="205868"/>
    <n v="0.03"/>
  </r>
  <r>
    <x v="2"/>
    <s v="2020-31143"/>
    <d v="2020-12-10T00:00:00"/>
    <s v="Brewer"/>
    <s v="Thursday"/>
    <s v="20:30:00"/>
    <x v="5"/>
    <s v="None"/>
    <s v="Dark - Lighted"/>
    <s v="Intersection Movement"/>
    <s v="Four Leg Intersection"/>
    <s v="Dry"/>
    <s v="Cloudy"/>
    <s v="Yes"/>
    <s v="Ran Red Light"/>
    <s v="Exceeded Posted Speed Limit"/>
    <s v="No Contributing Action"/>
    <m/>
    <n v="39685"/>
    <s v="0001A"/>
    <s v="US 1A"/>
    <n v="39.08"/>
    <n v="1"/>
    <n v="23788.5"/>
    <m/>
    <s v="N"/>
    <s v="N"/>
    <s v="N"/>
    <s v="N"/>
    <s v="No"/>
    <s v="No"/>
    <n v="2"/>
    <n v="4"/>
    <n v="4"/>
    <n v="0"/>
    <n v="0"/>
    <n v="4"/>
    <n v="0"/>
    <n v="0"/>
    <s v="B"/>
    <s v="BACTS"/>
    <n v="20"/>
    <s v="Traffic Signals (Stop &amp; Go)"/>
    <s v="Unknown"/>
    <n v="5"/>
    <s v="Penobscot"/>
    <s v="2020-31143"/>
    <s v="BREWER POLICE DEPARTMENT"/>
    <s v="20-094684"/>
    <n v="44.794701119999999"/>
    <n v="-68.766163859999992"/>
    <n v="12"/>
    <s v="December"/>
    <s v="19050"/>
    <n v="3111001"/>
    <n v="4"/>
    <s v="4 - Eastern Region"/>
    <s v="2"/>
    <s v="Urban"/>
    <s v="NODE"/>
    <n v="211457"/>
    <n v="0"/>
  </r>
  <r>
    <x v="2"/>
    <s v="2021-6922"/>
    <d v="2021-03-16T00:00:00"/>
    <s v="Brewer"/>
    <s v="Tuesday"/>
    <s v="16:30:00"/>
    <x v="7"/>
    <s v="None"/>
    <s v="Daylight"/>
    <s v="Rear End / Sideswipe"/>
    <s v="Three Leg Intersection"/>
    <s v="Dry"/>
    <s v="Clear"/>
    <m/>
    <s v="Other Contributing Action"/>
    <m/>
    <s v="No Contributing Action"/>
    <m/>
    <n v="39768"/>
    <s v="0001A"/>
    <s v="US 1A"/>
    <n v="39.450000000000003"/>
    <n v="1"/>
    <n v="8779"/>
    <m/>
    <s v="N"/>
    <s v="N"/>
    <s v="N"/>
    <s v="N"/>
    <s v="No"/>
    <s v="No"/>
    <n v="2"/>
    <n v="3"/>
    <n v="0"/>
    <n v="0"/>
    <n v="0"/>
    <n v="0"/>
    <n v="0"/>
    <n v="3"/>
    <s v="PD"/>
    <s v="BACTS"/>
    <n v="16"/>
    <s v="None"/>
    <s v="Unknown"/>
    <n v="3"/>
    <s v="Penobscot"/>
    <s v="2021-06922"/>
    <s v="BREWER POLICE DEPARTMENT"/>
    <s v="21-017670"/>
    <n v="44.791111809999997"/>
    <n v="-68.760809539999997"/>
    <n v="3"/>
    <s v="March"/>
    <s v="19050"/>
    <n v="3944111"/>
    <n v="4"/>
    <s v="4 - Eastern Region"/>
    <s v="2"/>
    <s v="Urban"/>
    <s v="NODE"/>
    <n v="212175"/>
    <n v="0"/>
  </r>
  <r>
    <x v="2"/>
    <s v="2021-10305"/>
    <d v="2021-04-24T00:00:00"/>
    <s v="Brewer"/>
    <s v="Saturday"/>
    <s v="01:33:00"/>
    <x v="7"/>
    <s v="None"/>
    <s v="Dark - Lighted"/>
    <s v="Went Off Road"/>
    <s v="Straight Road"/>
    <s v="Dry"/>
    <s v="Clear"/>
    <m/>
    <s v="Ran Off Roadway"/>
    <m/>
    <m/>
    <m/>
    <m/>
    <s v="0001A"/>
    <s v="US 1A"/>
    <n v="39.01"/>
    <n v="1"/>
    <n v="14970"/>
    <n v="25"/>
    <s v="N"/>
    <s v="N"/>
    <s v="N"/>
    <s v="N"/>
    <s v="No"/>
    <s v="No"/>
    <n v="1"/>
    <n v="2"/>
    <n v="0"/>
    <n v="0"/>
    <n v="0"/>
    <n v="0"/>
    <n v="0"/>
    <n v="2"/>
    <s v="PD"/>
    <s v="BACTS"/>
    <n v="1"/>
    <s v="None"/>
    <s v="Posted"/>
    <n v="7"/>
    <s v="Penobscot"/>
    <s v="2021-10305"/>
    <s v="BREWER POLICE DEPARTMENT"/>
    <s v="21-027817"/>
    <n v="44.79545804"/>
    <n v="-68.76714896"/>
    <n v="4"/>
    <s v="April"/>
    <s v="19050"/>
    <n v="3111002"/>
    <n v="4"/>
    <s v="4 - Eastern Region"/>
    <s v="2"/>
    <s v="Urban"/>
    <s v="ELEMENT"/>
    <n v="213355"/>
    <n v="7.0000000000000007E-2"/>
  </r>
  <r>
    <x v="2"/>
    <s v="2024-30264"/>
    <d v="2024-10-28T00:00:00"/>
    <s v="Brewer"/>
    <s v="Monday   "/>
    <s v="17:58:00"/>
    <x v="4"/>
    <s v="None"/>
    <s v="Dark - Lighted"/>
    <s v="Intersection Movement"/>
    <s v="Four Leg Intersection"/>
    <s v="Dry"/>
    <s v="Clear"/>
    <s v="Yes"/>
    <s v="Unknown"/>
    <m/>
    <s v="No Contributing Action"/>
    <m/>
    <n v="39685"/>
    <s v="0001A"/>
    <s v="US 1A"/>
    <n v="39.08"/>
    <n v="1"/>
    <n v="23788.5"/>
    <m/>
    <s v="N"/>
    <s v="N"/>
    <m/>
    <s v="N"/>
    <s v="No"/>
    <s v="No"/>
    <n v="2"/>
    <n v="2"/>
    <n v="0"/>
    <n v="0"/>
    <n v="0"/>
    <n v="0"/>
    <n v="0"/>
    <n v="2"/>
    <s v="PD"/>
    <s v="BACTS"/>
    <n v="17"/>
    <s v="Traffic Signals (Stop &amp; Go)"/>
    <s v="Unknown"/>
    <n v="2"/>
    <s v="Penobscot"/>
    <s v="2024-30264"/>
    <s v="PENOBSCOT COUNTY SHERIFFS DEPT"/>
    <s v="24-081855"/>
    <n v="44.794701119999999"/>
    <n v="-68.766163859999992"/>
    <n v="10"/>
    <s v="October"/>
    <s v="19050"/>
    <n v="3111001"/>
    <n v="4"/>
    <s v="4 - Eastern Region"/>
    <s v="2"/>
    <s v="Urban"/>
    <s v="NODE"/>
    <n v="214116"/>
    <n v="0"/>
  </r>
  <r>
    <x v="2"/>
    <s v="2023-11897"/>
    <d v="2023-04-17T00:00:00"/>
    <s v="Brewer"/>
    <s v="Monday"/>
    <s v="18:24:00"/>
    <x v="0"/>
    <s v="None"/>
    <s v="Daylight"/>
    <s v="Intersection Movement"/>
    <s v="Four Leg Intersection"/>
    <s v="Wet"/>
    <s v="Rain"/>
    <s v="Yes"/>
    <s v="Failed to Yield Right-of-Way"/>
    <m/>
    <s v="No Contributing Action"/>
    <m/>
    <n v="39685"/>
    <s v="0001A"/>
    <s v="US 1A"/>
    <n v="39.08"/>
    <n v="1"/>
    <n v="23788.5"/>
    <m/>
    <s v="N"/>
    <s v="N"/>
    <m/>
    <s v="N"/>
    <s v="No"/>
    <s v="No"/>
    <n v="2"/>
    <n v="2"/>
    <n v="0"/>
    <n v="0"/>
    <n v="0"/>
    <n v="0"/>
    <n v="0"/>
    <n v="2"/>
    <s v="PD"/>
    <s v="BACTS"/>
    <n v="18"/>
    <s v="Traffic Signals (Stop &amp; Go)"/>
    <s v="Unknown"/>
    <n v="2"/>
    <s v="Penobscot"/>
    <s v="2023-11897"/>
    <s v="BREWER POLICE DEPARTMENT"/>
    <s v="23-027491"/>
    <n v="44.794701119999999"/>
    <n v="-68.766163859999992"/>
    <n v="4"/>
    <s v="April"/>
    <s v="19050"/>
    <n v="3111001"/>
    <n v="4"/>
    <s v="4 - Eastern Region"/>
    <s v="2"/>
    <s v="Urban"/>
    <s v="NODE"/>
    <n v="214592"/>
    <n v="0"/>
  </r>
  <r>
    <x v="2"/>
    <s v="2025-26462"/>
    <d v="2025-09-09T00:00:00"/>
    <s v="Brewer"/>
    <s v="Tuesday  "/>
    <s v="12:23:00"/>
    <x v="8"/>
    <s v="None"/>
    <s v="Daylight"/>
    <s v="Other"/>
    <s v="Driveways"/>
    <s v="Dry"/>
    <s v="Clear"/>
    <m/>
    <s v="Failed to Yield Right-of-Way"/>
    <m/>
    <s v="No Contributing Action"/>
    <m/>
    <m/>
    <s v="0015B"/>
    <s v="ST RTE 15B"/>
    <n v="0.70000000000000007"/>
    <n v="2"/>
    <n v="12893"/>
    <n v="25"/>
    <s v="N"/>
    <s v="N"/>
    <m/>
    <s v="Y"/>
    <s v="No"/>
    <s v="No"/>
    <n v="2"/>
    <n v="2"/>
    <n v="1"/>
    <n v="0"/>
    <n v="0"/>
    <n v="0"/>
    <n v="1"/>
    <n v="1"/>
    <s v="C"/>
    <s v="BACTS"/>
    <n v="12"/>
    <s v="None"/>
    <s v="Unposted"/>
    <n v="3"/>
    <s v="Penobscot"/>
    <s v="2025-26462"/>
    <s v="BREWER POLICE DEPARTMENT"/>
    <s v="25-065918"/>
    <n v="44.79444668"/>
    <n v="-68.766372270000005"/>
    <n v="9"/>
    <s v="September"/>
    <s v="19050"/>
    <n v="3111000"/>
    <n v="4"/>
    <s v="4 - Eastern Region"/>
    <s v="2"/>
    <s v="Urban"/>
    <s v="ELEMENT"/>
    <n v="219783"/>
    <n v="0.06"/>
  </r>
  <r>
    <x v="2"/>
    <s v="2021-1346"/>
    <d v="2021-01-19T00:00:00"/>
    <s v="Brewer"/>
    <s v="Tuesday"/>
    <s v="07:45:00"/>
    <x v="7"/>
    <s v="None"/>
    <s v="Daylight"/>
    <s v="Rear End / Sideswipe"/>
    <s v="Four Leg Intersection"/>
    <s v="Dry"/>
    <s v="Clear"/>
    <s v="Yes"/>
    <s v="Followed Too Closely"/>
    <m/>
    <s v="No Contributing Action"/>
    <m/>
    <n v="39685"/>
    <s v="0001A"/>
    <s v="US 1A"/>
    <n v="39.08"/>
    <n v="1"/>
    <n v="23788.5"/>
    <m/>
    <s v="N"/>
    <s v="N"/>
    <s v="N"/>
    <s v="N"/>
    <s v="No"/>
    <s v="No"/>
    <n v="2"/>
    <n v="2"/>
    <n v="0"/>
    <n v="0"/>
    <n v="0"/>
    <n v="0"/>
    <n v="0"/>
    <n v="2"/>
    <s v="PD"/>
    <s v="BACTS"/>
    <n v="7"/>
    <s v="Traffic Signals (Stop &amp; Go)"/>
    <s v="Unknown"/>
    <n v="3"/>
    <s v="Penobscot"/>
    <s v="2021-01346"/>
    <s v="BREWER POLICE DEPARTMENT"/>
    <s v="21-004249"/>
    <n v="44.794701119999999"/>
    <n v="-68.766163859999992"/>
    <n v="1"/>
    <s v="January"/>
    <s v="19050"/>
    <n v="3111001"/>
    <n v="4"/>
    <s v="4 - Eastern Region"/>
    <s v="2"/>
    <s v="Urban"/>
    <s v="NODE"/>
    <n v="220105"/>
    <n v="0"/>
  </r>
  <r>
    <x v="2"/>
    <s v="2021-14288"/>
    <d v="2021-06-10T00:00:00"/>
    <s v="Brewer"/>
    <s v="Thursday"/>
    <s v="09:55:00"/>
    <x v="7"/>
    <s v="None"/>
    <s v="Daylight"/>
    <s v="Rear End / Sideswipe"/>
    <s v="Driveways"/>
    <s v="Dry"/>
    <s v="Clear"/>
    <m/>
    <s v="Improper Backing"/>
    <m/>
    <s v="No Contributing Action"/>
    <m/>
    <m/>
    <s v="0001A"/>
    <s v="US 1A"/>
    <n v="39.32"/>
    <n v="1"/>
    <n v="8737"/>
    <n v="25"/>
    <s v="N"/>
    <s v="N"/>
    <s v="N"/>
    <s v="N"/>
    <s v="No"/>
    <s v="No"/>
    <n v="2"/>
    <n v="2"/>
    <n v="0"/>
    <n v="0"/>
    <n v="0"/>
    <n v="0"/>
    <n v="0"/>
    <n v="2"/>
    <s v="PD"/>
    <s v="BACTS"/>
    <n v="9"/>
    <s v="None"/>
    <s v="Posted"/>
    <n v="5"/>
    <s v="Penobscot"/>
    <s v="2021-14288"/>
    <s v="BREWER POLICE DEPARTMENT"/>
    <s v="21-040979"/>
    <n v="44.792542439999998"/>
    <n v="-68.762445589999999"/>
    <n v="6"/>
    <s v="June"/>
    <s v="19050"/>
    <n v="3944111"/>
    <n v="4"/>
    <s v="4 - Eastern Region"/>
    <s v="2"/>
    <s v="Urban"/>
    <s v="ELEMENT"/>
    <n v="223182"/>
    <n v="0.13"/>
  </r>
  <r>
    <x v="2"/>
    <s v="2021-17021"/>
    <d v="2021-07-06T00:00:00"/>
    <s v="Brewer"/>
    <s v="Tuesday"/>
    <s v="08:20:00"/>
    <x v="7"/>
    <s v="None"/>
    <s v="Daylight"/>
    <s v="Bicycle"/>
    <s v="Four Leg Intersection"/>
    <s v="Dry"/>
    <s v="Cloudy"/>
    <s v="Yes"/>
    <s v="No Contributing Action"/>
    <m/>
    <m/>
    <m/>
    <n v="39685"/>
    <s v="0001A"/>
    <s v="US 1A"/>
    <n v="39.08"/>
    <n v="1"/>
    <n v="23788.5"/>
    <m/>
    <s v="Y"/>
    <s v="N"/>
    <s v="N"/>
    <s v="N"/>
    <s v="No"/>
    <s v="No"/>
    <n v="2"/>
    <n v="2"/>
    <n v="1"/>
    <n v="0"/>
    <n v="0"/>
    <n v="1"/>
    <n v="0"/>
    <n v="1"/>
    <s v="B"/>
    <s v="BACTS"/>
    <n v="8"/>
    <s v="Traffic Signals (Stop &amp; Go)"/>
    <s v="Unknown"/>
    <n v="3"/>
    <s v="Penobscot"/>
    <s v="2021-17021"/>
    <s v="BREWER POLICE DEPARTMENT"/>
    <s v="21-048657"/>
    <n v="44.794701119999999"/>
    <n v="-68.766163859999992"/>
    <n v="7"/>
    <s v="July"/>
    <s v="19050"/>
    <n v="3111001"/>
    <n v="4"/>
    <s v="4 - Eastern Region"/>
    <s v="2"/>
    <s v="Urban"/>
    <s v="NODE"/>
    <n v="223506"/>
    <n v="0"/>
  </r>
  <r>
    <x v="2"/>
    <s v="2018-28716"/>
    <d v="2018-08-24T00:00:00"/>
    <s v="Brewer"/>
    <s v="Friday"/>
    <s v="14:22:00"/>
    <x v="2"/>
    <s v="None"/>
    <s v="Daylight"/>
    <s v="Intersection Movement"/>
    <s v="Driveways"/>
    <s v="Dry"/>
    <s v="Clear"/>
    <s v="Yes"/>
    <s v="Failed to Yield Right-of-Way"/>
    <m/>
    <s v="No Contributing Action"/>
    <m/>
    <m/>
    <s v="0001A"/>
    <s v="US 1A"/>
    <n v="39.880000000000003"/>
    <n v="1"/>
    <n v="9113"/>
    <n v="25"/>
    <s v="N"/>
    <s v="N"/>
    <s v="N"/>
    <s v="N"/>
    <s v="No"/>
    <s v="No"/>
    <n v="2"/>
    <n v="6"/>
    <n v="0"/>
    <n v="0"/>
    <n v="0"/>
    <n v="0"/>
    <n v="0"/>
    <n v="6"/>
    <s v="PD"/>
    <s v="BACTS"/>
    <n v="14"/>
    <s v="No Passing Zone"/>
    <s v="Posted"/>
    <n v="6"/>
    <s v="Penobscot"/>
    <s v="2018-28716"/>
    <s v="BREWER POLICE DEPARTMENT"/>
    <s v="18-067440"/>
    <n v="44.786441170000003"/>
    <n v="-68.754985090000005"/>
    <n v="8"/>
    <s v="August"/>
    <s v="19050"/>
    <n v="3129631"/>
    <n v="4"/>
    <s v="4 - Eastern Region"/>
    <s v="2"/>
    <s v="Urban"/>
    <s v="ELEMENT"/>
    <n v="224899"/>
    <n v="0.04"/>
  </r>
  <r>
    <x v="2"/>
    <s v="2022-30968"/>
    <d v="2022-10-19T00:00:00"/>
    <s v="Brewer"/>
    <s v="Wednesday"/>
    <s v="17:42:00"/>
    <x v="3"/>
    <s v="None"/>
    <s v="Dusk"/>
    <s v="Rear End / Sideswipe"/>
    <s v="Four Leg Intersection"/>
    <s v="Dry"/>
    <s v="Clear"/>
    <s v="Yes"/>
    <m/>
    <m/>
    <s v="No Contributing Action"/>
    <m/>
    <n v="39685"/>
    <s v="0001A"/>
    <s v="US 1A"/>
    <n v="39.08"/>
    <n v="1"/>
    <n v="23788.5"/>
    <m/>
    <s v="N"/>
    <s v="N"/>
    <m/>
    <s v="N"/>
    <s v="No"/>
    <s v="No"/>
    <n v="2"/>
    <n v="2"/>
    <n v="0"/>
    <n v="0"/>
    <n v="0"/>
    <n v="0"/>
    <n v="0"/>
    <n v="2"/>
    <s v="PD"/>
    <s v="BACTS"/>
    <n v="17"/>
    <s v="Traffic Signals (Stop &amp; Go)"/>
    <s v="Unknown"/>
    <n v="4"/>
    <s v="Penobscot"/>
    <s v="2022-30968"/>
    <s v="BREWER POLICE DEPARTMENT"/>
    <s v="22-079342"/>
    <n v="44.794701119999999"/>
    <n v="-68.766163859999992"/>
    <n v="10"/>
    <s v="October"/>
    <s v="19050"/>
    <n v="3111001"/>
    <n v="4"/>
    <s v="4 - Eastern Region"/>
    <s v="2"/>
    <s v="Urban"/>
    <s v="NODE"/>
    <n v="234828"/>
    <n v="0"/>
  </r>
  <r>
    <x v="2"/>
    <s v="2023-28066"/>
    <d v="2023-09-18T00:00:00"/>
    <s v="Brewer"/>
    <s v="Monday   "/>
    <s v="18:31:00"/>
    <x v="0"/>
    <s v="None"/>
    <s v="Dusk"/>
    <s v="Intersection Movement"/>
    <s v="Four Leg Intersection"/>
    <s v="Wet"/>
    <s v="Rain"/>
    <s v="Yes"/>
    <s v="No Contributing Action"/>
    <m/>
    <s v="No Contributing Action"/>
    <m/>
    <n v="39685"/>
    <s v="0001A"/>
    <s v="US 1A"/>
    <n v="39.08"/>
    <n v="1"/>
    <n v="23788.5"/>
    <m/>
    <s v="N"/>
    <s v="N"/>
    <m/>
    <s v="N"/>
    <s v="No"/>
    <s v="No"/>
    <n v="2"/>
    <n v="3"/>
    <n v="0"/>
    <n v="0"/>
    <n v="0"/>
    <n v="0"/>
    <n v="0"/>
    <n v="3"/>
    <s v="PD"/>
    <s v="BACTS"/>
    <n v="18"/>
    <s v="Traffic Signals (Stop &amp; Go)"/>
    <s v="Unknown"/>
    <n v="2"/>
    <s v="Penobscot"/>
    <s v="2023-28066"/>
    <s v="BREWER POLICE DEPARTMENT"/>
    <s v="23-073160"/>
    <n v="44.794701119999999"/>
    <n v="-68.766163859999992"/>
    <n v="9"/>
    <s v="September"/>
    <s v="19050"/>
    <n v="3111001"/>
    <n v="4"/>
    <s v="4 - Eastern Region"/>
    <s v="2"/>
    <s v="Urban"/>
    <s v="NODE"/>
    <n v="235132"/>
    <n v="0"/>
  </r>
  <r>
    <x v="2"/>
    <s v="2023-26324"/>
    <d v="2023-09-08T00:00:00"/>
    <s v="Brewer"/>
    <s v="Friday   "/>
    <s v="14:17:00"/>
    <x v="0"/>
    <s v="None"/>
    <s v="Daylight"/>
    <s v="Rear End / Sideswipe"/>
    <s v="Four Leg Intersection"/>
    <s v="Dry"/>
    <s v="Clear"/>
    <s v="Yes"/>
    <m/>
    <m/>
    <s v="No Contributing Action"/>
    <m/>
    <n v="39685"/>
    <s v="0001A"/>
    <s v="US 1A"/>
    <n v="39.08"/>
    <n v="1"/>
    <n v="23788.5"/>
    <m/>
    <s v="N"/>
    <s v="N"/>
    <m/>
    <s v="N"/>
    <s v="No"/>
    <s v="No"/>
    <n v="2"/>
    <n v="2"/>
    <n v="0"/>
    <n v="0"/>
    <n v="0"/>
    <n v="0"/>
    <n v="0"/>
    <n v="2"/>
    <s v="PD"/>
    <s v="BACTS"/>
    <n v="14"/>
    <s v="Traffic Signals (Stop &amp; Go)"/>
    <s v="Unknown"/>
    <n v="6"/>
    <s v="Penobscot"/>
    <s v="2023-26324"/>
    <s v="BREWER POLICE DEPARTMENT"/>
    <s v="23-070180"/>
    <n v="44.794701119999999"/>
    <n v="-68.766163859999992"/>
    <n v="9"/>
    <s v="September"/>
    <s v="19050"/>
    <n v="3111001"/>
    <n v="4"/>
    <s v="4 - Eastern Region"/>
    <s v="2"/>
    <s v="Urban"/>
    <s v="NODE"/>
    <n v="235213"/>
    <n v="0"/>
  </r>
  <r>
    <x v="2"/>
    <s v="2018-23832"/>
    <d v="2018-08-18T00:00:00"/>
    <s v="Brewer"/>
    <s v="Saturday"/>
    <s v="11:43:00"/>
    <x v="2"/>
    <s v="None"/>
    <s v="Daylight"/>
    <s v="Rear End / Sideswipe"/>
    <s v="Four Leg Intersection"/>
    <s v="Dry"/>
    <s v="Cloudy"/>
    <s v="Yes"/>
    <s v="Other Contributing Action"/>
    <m/>
    <s v="No Contributing Action"/>
    <m/>
    <n v="39685"/>
    <s v="0001A"/>
    <s v="US 1A"/>
    <n v="39.08"/>
    <n v="1"/>
    <n v="23788.5"/>
    <m/>
    <s v="N"/>
    <s v="N"/>
    <s v="N"/>
    <s v="N"/>
    <s v="No"/>
    <s v="No"/>
    <n v="3"/>
    <n v="3"/>
    <n v="0"/>
    <n v="0"/>
    <n v="0"/>
    <n v="0"/>
    <n v="0"/>
    <n v="3"/>
    <s v="PD"/>
    <s v="BACTS"/>
    <n v="11"/>
    <s v="Traffic Signals (Stop &amp; Go)"/>
    <s v="Unknown"/>
    <n v="7"/>
    <s v="Penobscot"/>
    <s v="2018-23832"/>
    <s v="BREWER POLICE DEPARTMENT"/>
    <s v="18-065555"/>
    <n v="44.794701119999999"/>
    <n v="-68.766163859999992"/>
    <n v="8"/>
    <s v="August"/>
    <s v="19050"/>
    <n v="3111001"/>
    <n v="4"/>
    <s v="4 - Eastern Region"/>
    <s v="2"/>
    <s v="Urban"/>
    <s v="NODE"/>
    <n v="235394"/>
    <n v="0"/>
  </r>
  <r>
    <x v="2"/>
    <s v="2018-25539"/>
    <d v="2018-09-04T00:00:00"/>
    <s v="Brewer"/>
    <s v="Tuesday"/>
    <s v="13:40:00"/>
    <x v="2"/>
    <s v="None"/>
    <s v="Daylight"/>
    <s v="Rear End / Sideswipe"/>
    <s v="Four Leg Intersection"/>
    <s v="Dry"/>
    <s v="Clear"/>
    <s v="Yes"/>
    <s v="Other Contributing Action"/>
    <m/>
    <s v="No Contributing Action"/>
    <m/>
    <n v="39685"/>
    <s v="0001A"/>
    <s v="US 1A"/>
    <n v="39.08"/>
    <n v="1"/>
    <n v="23788.5"/>
    <m/>
    <s v="N"/>
    <s v="N"/>
    <s v="N"/>
    <s v="N"/>
    <s v="No"/>
    <s v="No"/>
    <n v="2"/>
    <n v="2"/>
    <n v="0"/>
    <n v="0"/>
    <n v="0"/>
    <n v="0"/>
    <n v="0"/>
    <n v="2"/>
    <s v="PD"/>
    <s v="BACTS"/>
    <n v="13"/>
    <s v="Traffic Signals (Stop &amp; Go)"/>
    <s v="Unknown"/>
    <n v="3"/>
    <s v="Penobscot"/>
    <s v="2018-25539"/>
    <s v="BREWER POLICE DEPARTMENT"/>
    <s v="18-070982"/>
    <n v="44.794701119999999"/>
    <n v="-68.766163859999992"/>
    <n v="9"/>
    <s v="September"/>
    <s v="19050"/>
    <n v="3111001"/>
    <n v="4"/>
    <s v="4 - Eastern Region"/>
    <s v="2"/>
    <s v="Urban"/>
    <s v="NODE"/>
    <n v="235908"/>
    <n v="0"/>
  </r>
  <r>
    <x v="2"/>
    <s v="2018-27237"/>
    <d v="2018-07-20T00:00:00"/>
    <s v="Brewer"/>
    <s v="Friday"/>
    <s v="19:38:00"/>
    <x v="2"/>
    <s v="None"/>
    <s v="Daylight"/>
    <s v="Other"/>
    <s v="Three Leg Intersection"/>
    <s v="Dry"/>
    <s v="Clear"/>
    <s v="Yes"/>
    <s v="Operated Motor Vehicle in Erratic, Reckless, Careless, Negligent or Aggressive Manner"/>
    <m/>
    <m/>
    <m/>
    <n v="39763"/>
    <s v="0001A"/>
    <s v="US 1A"/>
    <n v="39.93"/>
    <n v="1"/>
    <n v="9701"/>
    <m/>
    <s v="N"/>
    <s v="N"/>
    <s v="N"/>
    <s v="Y"/>
    <s v="No"/>
    <s v="No"/>
    <n v="1"/>
    <n v="1"/>
    <n v="1"/>
    <n v="0"/>
    <n v="1"/>
    <n v="0"/>
    <n v="0"/>
    <n v="0"/>
    <s v="A"/>
    <s v="BACTS"/>
    <n v="19"/>
    <s v="None"/>
    <s v="Unknown"/>
    <n v="6"/>
    <s v="Penobscot"/>
    <s v="2018-27237"/>
    <s v="BREWER POLICE DEPARTMENT"/>
    <s v="18-056520"/>
    <n v="44.785882839999999"/>
    <n v="-68.754314620000002"/>
    <n v="7"/>
    <s v="July"/>
    <s v="19050"/>
    <n v="3111058"/>
    <n v="4"/>
    <s v="4 - Eastern Region"/>
    <s v="2"/>
    <s v="Urban"/>
    <s v="NODE"/>
    <n v="236074"/>
    <n v="0"/>
  </r>
  <r>
    <x v="2"/>
    <s v="2021-6151"/>
    <d v="2021-03-05T00:00:00"/>
    <s v="Brewer"/>
    <s v="Friday"/>
    <s v="11:58:00"/>
    <x v="7"/>
    <s v="None"/>
    <s v="Daylight"/>
    <s v="Rear End / Sideswipe"/>
    <s v="Four Leg Intersection"/>
    <s v="Dry"/>
    <s v="Clear"/>
    <s v="Yes"/>
    <s v="Other Contributing Action"/>
    <m/>
    <s v="No Contributing Action"/>
    <m/>
    <n v="39685"/>
    <s v="0001A"/>
    <s v="US 1A"/>
    <n v="39.08"/>
    <n v="1"/>
    <n v="23788.5"/>
    <m/>
    <s v="N"/>
    <s v="N"/>
    <s v="N"/>
    <s v="N"/>
    <s v="No"/>
    <s v="No"/>
    <n v="2"/>
    <n v="2"/>
    <n v="0"/>
    <n v="0"/>
    <n v="0"/>
    <n v="0"/>
    <n v="0"/>
    <n v="2"/>
    <s v="PD"/>
    <s v="BACTS"/>
    <n v="11"/>
    <s v="Traffic Signals (Stop &amp; Go)"/>
    <s v="Unknown"/>
    <n v="6"/>
    <s v="Penobscot"/>
    <s v="2021-06151"/>
    <s v="BREWER POLICE DEPARTMENT"/>
    <s v="21-015021"/>
    <n v="44.794701119999999"/>
    <n v="-68.766163859999992"/>
    <n v="3"/>
    <s v="March"/>
    <s v="19050"/>
    <n v="3111001"/>
    <n v="4"/>
    <s v="4 - Eastern Region"/>
    <s v="2"/>
    <s v="Urban"/>
    <s v="NODE"/>
    <n v="237287"/>
    <n v="0"/>
  </r>
  <r>
    <x v="2"/>
    <s v="2024-14059"/>
    <d v="2024-05-29T00:00:00"/>
    <s v="Brewer"/>
    <s v="Wednesday"/>
    <s v="10:15:00"/>
    <x v="4"/>
    <s v="None"/>
    <s v="Daylight"/>
    <s v="Rear End / Sideswipe"/>
    <s v="Straight Road"/>
    <s v="Dry"/>
    <s v="Clear"/>
    <m/>
    <s v="Other Contributing Action"/>
    <m/>
    <s v="No Contributing Action"/>
    <m/>
    <m/>
    <s v="0001A"/>
    <s v="US 1A"/>
    <n v="39.86"/>
    <n v="1"/>
    <n v="9113"/>
    <n v="25"/>
    <s v="N"/>
    <s v="N"/>
    <m/>
    <s v="N"/>
    <s v="No"/>
    <s v="No"/>
    <n v="2"/>
    <n v="3"/>
    <n v="0"/>
    <n v="0"/>
    <n v="0"/>
    <n v="0"/>
    <n v="0"/>
    <n v="3"/>
    <s v="PD"/>
    <s v="BACTS"/>
    <n v="10"/>
    <s v="None"/>
    <s v="Posted"/>
    <n v="4"/>
    <s v="Penobscot"/>
    <s v="2024-14059"/>
    <s v="BREWER POLICE DEPARTMENT"/>
    <s v="24-038424"/>
    <n v="44.7866669"/>
    <n v="-68.755263769999999"/>
    <n v="5"/>
    <s v="May"/>
    <s v="19050"/>
    <n v="3129631"/>
    <n v="4"/>
    <s v="4 - Eastern Region"/>
    <s v="2"/>
    <s v="Urban"/>
    <s v="ELEMENT"/>
    <n v="238812"/>
    <n v="0.02"/>
  </r>
  <r>
    <x v="2"/>
    <s v="2024-23350"/>
    <d v="2024-08-16T00:00:00"/>
    <s v="Brewer"/>
    <s v="Friday   "/>
    <s v="19:41:00"/>
    <x v="4"/>
    <s v="None"/>
    <s v="Dusk"/>
    <s v="Pedestrians"/>
    <s v="Three Leg Intersection"/>
    <s v="Dry"/>
    <s v="Clear"/>
    <s v="Yes"/>
    <m/>
    <m/>
    <m/>
    <m/>
    <n v="39765"/>
    <s v="0001A"/>
    <s v="US 1A"/>
    <n v="39.72"/>
    <n v="1"/>
    <n v="8872"/>
    <m/>
    <s v="N"/>
    <s v="Y"/>
    <m/>
    <s v="N"/>
    <s v="No"/>
    <s v="No"/>
    <n v="2"/>
    <n v="1"/>
    <n v="1"/>
    <n v="0"/>
    <n v="0"/>
    <n v="1"/>
    <n v="0"/>
    <n v="0"/>
    <s v="B"/>
    <s v="BACTS"/>
    <n v="19"/>
    <s v="Stop Signs - Other"/>
    <s v="Unknown"/>
    <n v="6"/>
    <s v="Penobscot"/>
    <s v="2024-23350"/>
    <s v="BREWER POLICE DEPARTMENT"/>
    <s v="24-061233"/>
    <n v="44.78820692"/>
    <n v="-68.757189269999998"/>
    <n v="8"/>
    <s v="August"/>
    <s v="19050"/>
    <n v="3132133"/>
    <n v="4"/>
    <s v="4 - Eastern Region"/>
    <s v="2"/>
    <s v="Urban"/>
    <s v="NODE"/>
    <n v="241459"/>
    <n v="0"/>
  </r>
  <r>
    <x v="2"/>
    <s v="2022-28491"/>
    <d v="2022-10-03T00:00:00"/>
    <s v="Brewer"/>
    <s v="Monday"/>
    <s v="14:39:00"/>
    <x v="3"/>
    <s v="None"/>
    <s v="Daylight"/>
    <s v="Intersection Movement"/>
    <s v="Three Leg Intersection"/>
    <s v="Dry"/>
    <s v="Clear"/>
    <s v="Yes"/>
    <s v="Other Contributing Action"/>
    <m/>
    <s v="No Contributing Action"/>
    <m/>
    <n v="60190"/>
    <s v="0001A"/>
    <s v="US 1A"/>
    <n v="39.9"/>
    <n v="1"/>
    <n v="9615"/>
    <m/>
    <s v="N"/>
    <s v="N"/>
    <m/>
    <s v="N"/>
    <s v="No"/>
    <s v="No"/>
    <n v="2"/>
    <n v="2"/>
    <n v="0"/>
    <n v="0"/>
    <n v="0"/>
    <n v="0"/>
    <n v="0"/>
    <n v="2"/>
    <s v="PD"/>
    <s v="BACTS"/>
    <n v="14"/>
    <s v="Stop Signs - Other"/>
    <s v="Unknown"/>
    <n v="2"/>
    <s v="Penobscot"/>
    <s v="2022-28491"/>
    <s v="BREWER POLICE DEPARTMENT"/>
    <s v="22-074927"/>
    <n v="44.786212310000003"/>
    <n v="-68.754702559999998"/>
    <n v="10"/>
    <s v="October"/>
    <s v="19050"/>
    <n v="2071517"/>
    <n v="4"/>
    <s v="4 - Eastern Region"/>
    <s v="2"/>
    <s v="Urban"/>
    <s v="NODE"/>
    <n v="242104"/>
    <n v="0"/>
  </r>
  <r>
    <x v="2"/>
    <s v="2023-5565"/>
    <d v="2023-02-14T00:00:00"/>
    <s v="Brewer"/>
    <s v="Tuesday"/>
    <s v="14:18:00"/>
    <x v="0"/>
    <s v="None"/>
    <s v="Daylight"/>
    <s v="Rear End / Sideswipe"/>
    <s v="Four Leg Intersection"/>
    <s v="Dry"/>
    <s v="Clear"/>
    <s v="Yes"/>
    <s v="Followed Too Closely"/>
    <m/>
    <s v="No Contributing Action"/>
    <m/>
    <n v="39685"/>
    <s v="0001A"/>
    <s v="US 1A"/>
    <n v="39.08"/>
    <n v="1"/>
    <n v="23788.5"/>
    <m/>
    <s v="N"/>
    <s v="N"/>
    <m/>
    <s v="N"/>
    <s v="No"/>
    <s v="No"/>
    <n v="2"/>
    <n v="2"/>
    <n v="0"/>
    <n v="0"/>
    <n v="0"/>
    <n v="0"/>
    <n v="0"/>
    <n v="2"/>
    <s v="PD"/>
    <s v="BACTS"/>
    <n v="14"/>
    <s v="Traffic Signals (Stop &amp; Go)"/>
    <s v="Unknown"/>
    <n v="3"/>
    <s v="Penobscot"/>
    <s v="2023-05565"/>
    <s v="BREWER POLICE DEPARTMENT"/>
    <s v="23-011200"/>
    <n v="44.794701119999999"/>
    <n v="-68.766163859999992"/>
    <n v="2"/>
    <s v="February"/>
    <s v="19050"/>
    <n v="3111001"/>
    <n v="4"/>
    <s v="4 - Eastern Region"/>
    <s v="2"/>
    <s v="Urban"/>
    <s v="NODE"/>
    <n v="243625"/>
    <n v="0"/>
  </r>
  <r>
    <x v="2"/>
    <s v="2019-67602"/>
    <d v="2019-10-11T00:00:00"/>
    <s v="Brewer"/>
    <s v="Friday"/>
    <s v="17:25:00"/>
    <x v="6"/>
    <s v="None"/>
    <s v="Daylight"/>
    <s v="Intersection Movement"/>
    <s v="Three Leg Intersection"/>
    <s v="Dry"/>
    <s v="Clear"/>
    <m/>
    <s v="No Contributing Action"/>
    <m/>
    <s v="Failed to Yield Right-of-Way"/>
    <m/>
    <n v="39768"/>
    <s v="0001A"/>
    <s v="US 1A"/>
    <n v="39.450000000000003"/>
    <n v="1"/>
    <n v="8779"/>
    <m/>
    <s v="N"/>
    <s v="N"/>
    <s v="N"/>
    <s v="N"/>
    <s v="No"/>
    <s v="No"/>
    <n v="2"/>
    <n v="2"/>
    <n v="0"/>
    <n v="0"/>
    <n v="0"/>
    <n v="0"/>
    <n v="0"/>
    <n v="2"/>
    <s v="PD"/>
    <s v="BACTS"/>
    <n v="17"/>
    <s v="None"/>
    <s v="Unknown"/>
    <n v="6"/>
    <s v="Penobscot"/>
    <s v="2019-67602"/>
    <s v="BREWER POLICE DEPARTMENT"/>
    <s v="19-083812"/>
    <n v="44.791111809999997"/>
    <n v="-68.760809539999997"/>
    <n v="10"/>
    <s v="October"/>
    <s v="19050"/>
    <n v="3944111"/>
    <n v="4"/>
    <s v="4 - Eastern Region"/>
    <s v="2"/>
    <s v="Urban"/>
    <s v="NODE"/>
    <n v="246937"/>
    <n v="0"/>
  </r>
  <r>
    <x v="2"/>
    <s v="2025-20957"/>
    <d v="2025-07-18T00:00:00"/>
    <s v="Brewer"/>
    <s v="Friday   "/>
    <s v="17:33:00"/>
    <x v="8"/>
    <s v="None"/>
    <s v="Daylight"/>
    <s v="Rear End / Sideswipe"/>
    <s v="Straight Road"/>
    <s v="Dry"/>
    <s v="Clear"/>
    <m/>
    <s v="Followed Too Closely"/>
    <m/>
    <s v="No Contributing Action"/>
    <m/>
    <m/>
    <s v="0001A"/>
    <s v="US 1A"/>
    <n v="40.01"/>
    <n v="1"/>
    <n v="4809"/>
    <n v="25"/>
    <s v="N"/>
    <s v="N"/>
    <m/>
    <s v="N"/>
    <s v="No"/>
    <s v="No"/>
    <n v="2"/>
    <n v="2"/>
    <n v="0"/>
    <n v="0"/>
    <n v="0"/>
    <n v="0"/>
    <n v="0"/>
    <n v="2"/>
    <s v="PD"/>
    <s v="BACTS"/>
    <n v="17"/>
    <s v="None"/>
    <s v="Posted"/>
    <n v="6"/>
    <s v="Penobscot"/>
    <s v="2025-20957"/>
    <s v="BREWER POLICE DEPARTMENT"/>
    <s v="25-051069"/>
    <n v="44.78499952"/>
    <n v="-68.753244850000002"/>
    <n v="7"/>
    <s v="July"/>
    <s v="19050"/>
    <n v="3111057"/>
    <n v="4"/>
    <s v="4 - Eastern Region"/>
    <s v="2"/>
    <s v="Urban"/>
    <s v="ELEMENT"/>
    <n v="251913"/>
    <n v="0.01"/>
  </r>
  <r>
    <x v="2"/>
    <s v="2021-14679"/>
    <d v="2021-06-07T00:00:00"/>
    <s v="Brewer"/>
    <s v="Monday"/>
    <s v="08:05:00"/>
    <x v="7"/>
    <s v="None"/>
    <s v="Daylight"/>
    <s v="Rear End / Sideswipe"/>
    <s v="Four Leg Intersection"/>
    <s v="Dry"/>
    <s v="Clear"/>
    <s v="Yes"/>
    <s v="No Contributing Action"/>
    <m/>
    <s v="No Contributing Action"/>
    <m/>
    <n v="39685"/>
    <s v="0001A"/>
    <s v="US 1A"/>
    <n v="39.08"/>
    <n v="1"/>
    <n v="23788.5"/>
    <m/>
    <s v="N"/>
    <s v="N"/>
    <s v="N"/>
    <s v="N"/>
    <s v="No"/>
    <s v="No"/>
    <n v="2"/>
    <n v="2"/>
    <n v="0"/>
    <n v="0"/>
    <n v="0"/>
    <n v="0"/>
    <n v="0"/>
    <n v="2"/>
    <s v="PD"/>
    <s v="BACTS"/>
    <n v="8"/>
    <s v="Traffic Signals (Stop &amp; Go)"/>
    <s v="Unknown"/>
    <n v="2"/>
    <s v="Penobscot"/>
    <s v="2021-14679"/>
    <s v="BREWER POLICE DEPARTMENT"/>
    <s v="21-039942"/>
    <n v="44.794701119999999"/>
    <n v="-68.766163859999992"/>
    <n v="6"/>
    <s v="June"/>
    <s v="19050"/>
    <n v="3111001"/>
    <n v="4"/>
    <s v="4 - Eastern Region"/>
    <s v="2"/>
    <s v="Urban"/>
    <s v="NODE"/>
    <n v="252371"/>
    <n v="0"/>
  </r>
  <r>
    <x v="2"/>
    <s v="2022-33202"/>
    <d v="2022-11-12T00:00:00"/>
    <s v="Brewer"/>
    <s v="Saturday"/>
    <s v="15:47:00"/>
    <x v="3"/>
    <s v="None"/>
    <s v="Daylight"/>
    <s v="Rear End / Sideswipe"/>
    <s v="Four Leg Intersection"/>
    <s v="Dry"/>
    <s v="Clear"/>
    <s v="Yes"/>
    <s v="No Contributing Action"/>
    <m/>
    <s v="No Contributing Action"/>
    <m/>
    <n v="39685"/>
    <s v="0001A"/>
    <s v="US 1A"/>
    <n v="39.08"/>
    <n v="1"/>
    <n v="23788.5"/>
    <m/>
    <s v="N"/>
    <s v="N"/>
    <m/>
    <s v="N"/>
    <s v="No"/>
    <s v="No"/>
    <n v="2"/>
    <n v="2"/>
    <n v="0"/>
    <n v="0"/>
    <n v="0"/>
    <n v="0"/>
    <n v="0"/>
    <n v="2"/>
    <s v="PD"/>
    <s v="BACTS"/>
    <n v="15"/>
    <s v="Traffic Signals (Stop &amp; Go)"/>
    <s v="Unknown"/>
    <n v="7"/>
    <s v="Penobscot"/>
    <s v="2022-33202"/>
    <s v="BREWER POLICE DEPARTMENT"/>
    <s v="22-085995"/>
    <n v="44.794701119999999"/>
    <n v="-68.766163859999992"/>
    <n v="11"/>
    <s v="November"/>
    <s v="19050"/>
    <n v="3111001"/>
    <n v="4"/>
    <s v="4 - Eastern Region"/>
    <s v="2"/>
    <s v="Urban"/>
    <s v="NODE"/>
    <n v="252677"/>
    <n v="0"/>
  </r>
  <r>
    <x v="2"/>
    <s v="2018-36150"/>
    <d v="2018-11-16T00:00:00"/>
    <s v="Brewer"/>
    <s v="Friday"/>
    <s v="09:52:00"/>
    <x v="2"/>
    <s v="Road Surface Condition (Wet, Icy, Snow, Slush, etc.)"/>
    <s v="Daylight"/>
    <s v="Rear End / Sideswipe"/>
    <s v="Four Leg Intersection"/>
    <s v="Snow"/>
    <s v="Snow"/>
    <s v="Yes"/>
    <s v="Drove Too Fast For Conditions"/>
    <m/>
    <s v="No Contributing Action"/>
    <m/>
    <n v="39685"/>
    <s v="0001A"/>
    <s v="US 1A"/>
    <n v="39.08"/>
    <n v="1"/>
    <n v="23788.5"/>
    <m/>
    <s v="N"/>
    <s v="N"/>
    <s v="N"/>
    <s v="N"/>
    <s v="No"/>
    <s v="No"/>
    <n v="2"/>
    <n v="2"/>
    <n v="0"/>
    <n v="0"/>
    <n v="0"/>
    <n v="0"/>
    <n v="0"/>
    <n v="2"/>
    <s v="PD"/>
    <s v="BACTS"/>
    <n v="9"/>
    <s v="Traffic Signals (Stop &amp; Go)"/>
    <s v="Unknown"/>
    <n v="6"/>
    <s v="Penobscot"/>
    <s v="2018-36150"/>
    <s v="BREWER POLICE DEPARTMENT"/>
    <s v="18-092566"/>
    <n v="44.794701119999999"/>
    <n v="-68.766163859999992"/>
    <n v="11"/>
    <s v="November"/>
    <s v="19050"/>
    <n v="3111001"/>
    <n v="4"/>
    <s v="4 - Eastern Region"/>
    <s v="2"/>
    <s v="Urban"/>
    <s v="NODE"/>
    <n v="253207"/>
    <n v="0"/>
  </r>
  <r>
    <x v="2"/>
    <s v="2024-31249"/>
    <d v="2024-11-07T00:00:00"/>
    <s v="Brewer"/>
    <s v="Thursday "/>
    <s v="17:02:00"/>
    <x v="4"/>
    <s v="None"/>
    <s v="Dusk"/>
    <s v="Rear End / Sideswipe"/>
    <s v="Four Leg Intersection"/>
    <s v="Dry"/>
    <s v="Clear"/>
    <s v="Yes"/>
    <s v="Followed Too Closely"/>
    <m/>
    <s v="No Contributing Action"/>
    <m/>
    <n v="39685"/>
    <s v="0001A"/>
    <s v="US 1A"/>
    <n v="39.08"/>
    <n v="1"/>
    <n v="23788.5"/>
    <m/>
    <s v="N"/>
    <s v="N"/>
    <m/>
    <s v="N"/>
    <s v="No"/>
    <s v="No"/>
    <n v="2"/>
    <n v="2"/>
    <n v="0"/>
    <n v="0"/>
    <n v="0"/>
    <n v="0"/>
    <n v="0"/>
    <n v="2"/>
    <s v="PD"/>
    <s v="BACTS"/>
    <n v="17"/>
    <s v="Traffic Signals (Stop &amp; Go)"/>
    <s v="Unknown"/>
    <n v="5"/>
    <s v="Penobscot"/>
    <s v="2024-31249"/>
    <s v="BREWER POLICE DEPARTMENT"/>
    <s v="24-084578"/>
    <n v="44.794701119999999"/>
    <n v="-68.766163859999992"/>
    <n v="11"/>
    <s v="November"/>
    <s v="19050"/>
    <n v="3111001"/>
    <n v="4"/>
    <s v="4 - Eastern Region"/>
    <s v="2"/>
    <s v="Urban"/>
    <s v="NODE"/>
    <n v="255711"/>
    <n v="0"/>
  </r>
  <r>
    <x v="2"/>
    <s v="2024-11892"/>
    <d v="2024-05-03T00:00:00"/>
    <s v="Brewer"/>
    <s v="Friday   "/>
    <s v="04:49:00"/>
    <x v="4"/>
    <s v="None"/>
    <s v="Dawn"/>
    <s v="Intersection Movement"/>
    <s v="Four Leg Intersection"/>
    <s v="Dry"/>
    <s v="Clear"/>
    <s v="Yes"/>
    <s v="Failed to Yield Right-of-Way"/>
    <m/>
    <s v="No Contributing Action"/>
    <m/>
    <n v="39685"/>
    <s v="0001A"/>
    <s v="US 1A"/>
    <n v="39.08"/>
    <n v="1"/>
    <n v="23788.5"/>
    <m/>
    <s v="N"/>
    <s v="N"/>
    <m/>
    <s v="N"/>
    <s v="No"/>
    <s v="No"/>
    <n v="2"/>
    <n v="2"/>
    <n v="0"/>
    <n v="0"/>
    <n v="0"/>
    <n v="0"/>
    <n v="0"/>
    <n v="2"/>
    <s v="PD"/>
    <s v="BACTS"/>
    <n v="4"/>
    <s v="Traffic Signals (Flashing)"/>
    <s v="Unknown"/>
    <n v="6"/>
    <s v="Penobscot"/>
    <s v="2024-11892"/>
    <s v="BREWER POLICE DEPARTMENT"/>
    <s v="24-031268"/>
    <n v="44.794701119999999"/>
    <n v="-68.766163859999992"/>
    <n v="5"/>
    <s v="May"/>
    <s v="19050"/>
    <n v="3111001"/>
    <n v="4"/>
    <s v="4 - Eastern Region"/>
    <s v="2"/>
    <s v="Urban"/>
    <s v="NODE"/>
    <n v="256218"/>
    <n v="0"/>
  </r>
  <r>
    <x v="2"/>
    <s v="2024-2504"/>
    <d v="2024-01-19T00:00:00"/>
    <s v="Brewer"/>
    <s v="Friday   "/>
    <s v="19:07:00"/>
    <x v="4"/>
    <s v="None"/>
    <s v="Dark - Lighted"/>
    <s v="Intersection Movement"/>
    <s v="Four Leg Intersection"/>
    <s v="Dry"/>
    <s v="Clear"/>
    <s v="Yes"/>
    <s v="Failed to Yield Right-of-Way"/>
    <m/>
    <s v="No Contributing Action"/>
    <m/>
    <n v="39685"/>
    <s v="0001A"/>
    <s v="US 1A"/>
    <n v="39.08"/>
    <n v="1"/>
    <n v="23788.5"/>
    <m/>
    <s v="N"/>
    <s v="N"/>
    <m/>
    <s v="N"/>
    <s v="No"/>
    <s v="No"/>
    <n v="2"/>
    <n v="4"/>
    <n v="1"/>
    <n v="0"/>
    <n v="0"/>
    <n v="1"/>
    <n v="0"/>
    <n v="3"/>
    <s v="B"/>
    <s v="BACTS"/>
    <n v="19"/>
    <s v="Traffic Signals (Stop &amp; Go)"/>
    <s v="Unknown"/>
    <n v="6"/>
    <s v="Penobscot"/>
    <s v="2024-02504"/>
    <s v="BREWER POLICE DEPARTMENT"/>
    <s v="24-004652"/>
    <n v="44.794701119999999"/>
    <n v="-68.766163859999992"/>
    <n v="1"/>
    <s v="January"/>
    <s v="19050"/>
    <n v="3111001"/>
    <n v="4"/>
    <s v="4 - Eastern Region"/>
    <s v="2"/>
    <s v="Urban"/>
    <s v="NODE"/>
    <n v="256556"/>
    <n v="0"/>
  </r>
  <r>
    <x v="2"/>
    <s v="2024-3576"/>
    <d v="2024-02-01T00:00:00"/>
    <s v="Brewer"/>
    <s v="Thursday "/>
    <s v="22:13:00"/>
    <x v="4"/>
    <s v="None"/>
    <s v="Dark - Lighted"/>
    <s v="Intersection Movement"/>
    <s v="Four Leg Intersection"/>
    <s v="Wet"/>
    <s v="Rain"/>
    <s v="Yes"/>
    <s v="Improper Turn"/>
    <m/>
    <s v="No Contributing Action"/>
    <m/>
    <n v="39685"/>
    <s v="0001A"/>
    <s v="US 1A"/>
    <n v="39.08"/>
    <n v="1"/>
    <n v="23788.5"/>
    <m/>
    <s v="N"/>
    <s v="N"/>
    <m/>
    <s v="N"/>
    <s v="No"/>
    <s v="No"/>
    <n v="2"/>
    <n v="2"/>
    <n v="0"/>
    <n v="0"/>
    <n v="0"/>
    <n v="0"/>
    <n v="0"/>
    <n v="2"/>
    <s v="PD"/>
    <s v="BACTS"/>
    <n v="22"/>
    <s v="Traffic Signals (Stop &amp; Go)"/>
    <s v="Unknown"/>
    <n v="5"/>
    <s v="Penobscot"/>
    <s v="2024-03576"/>
    <s v="BREWER POLICE DEPARTMENT"/>
    <s v="24-007912"/>
    <n v="44.794701119999999"/>
    <n v="-68.766163859999992"/>
    <n v="2"/>
    <s v="February"/>
    <s v="19050"/>
    <n v="3111001"/>
    <n v="4"/>
    <s v="4 - Eastern Region"/>
    <s v="2"/>
    <s v="Urban"/>
    <s v="NODE"/>
    <n v="257423"/>
    <n v="0"/>
  </r>
  <r>
    <x v="2"/>
    <s v="2024-31619"/>
    <d v="2024-11-11T00:00:00"/>
    <s v="Brewer"/>
    <s v="Monday   "/>
    <s v="10:55:00"/>
    <x v="4"/>
    <s v="None"/>
    <s v="Daylight"/>
    <s v="Rear End / Sideswipe"/>
    <s v="Three Leg Intersection"/>
    <s v="Dry"/>
    <s v="Clear"/>
    <s v="Yes"/>
    <s v="Improper Backing"/>
    <m/>
    <s v="No Contributing Action"/>
    <m/>
    <n v="60190"/>
    <s v="0001A"/>
    <s v="US 1A"/>
    <n v="39.9"/>
    <n v="1"/>
    <n v="9615"/>
    <m/>
    <s v="N"/>
    <s v="N"/>
    <m/>
    <s v="N"/>
    <s v="No"/>
    <s v="No"/>
    <n v="2"/>
    <n v="2"/>
    <n v="0"/>
    <n v="0"/>
    <n v="0"/>
    <n v="0"/>
    <n v="0"/>
    <n v="2"/>
    <s v="PD"/>
    <s v="BACTS"/>
    <n v="10"/>
    <s v="Other"/>
    <s v="Unknown"/>
    <n v="2"/>
    <s v="Penobscot"/>
    <s v="2024-31619"/>
    <s v="BREWER POLICE DEPARTMENT"/>
    <s v="24-085396"/>
    <n v="44.786209999999997"/>
    <n v="-68.7547"/>
    <n v="11"/>
    <s v="November"/>
    <s v="19050"/>
    <n v="2071517"/>
    <n v="4"/>
    <s v="4 - Eastern Region"/>
    <s v="2"/>
    <s v="Urban"/>
    <s v="NODE"/>
    <n v="257688"/>
    <n v="0"/>
  </r>
  <r>
    <x v="2"/>
    <s v="2020-22291"/>
    <d v="2020-09-18T00:00:00"/>
    <s v="Brewer"/>
    <s v="Friday"/>
    <s v="14:15:00"/>
    <x v="5"/>
    <s v="None"/>
    <s v="Daylight"/>
    <s v="Intersection Movement"/>
    <s v="Driveways"/>
    <s v="Dry"/>
    <s v="Clear"/>
    <m/>
    <s v="Improper Backing"/>
    <m/>
    <s v="No Contributing Action"/>
    <m/>
    <m/>
    <s v="0001A"/>
    <s v="US 1A"/>
    <n v="39.32"/>
    <n v="1"/>
    <n v="8737"/>
    <n v="25"/>
    <s v="N"/>
    <s v="N"/>
    <s v="N"/>
    <s v="N"/>
    <s v="No"/>
    <s v="No"/>
    <n v="2"/>
    <n v="3"/>
    <n v="0"/>
    <n v="0"/>
    <n v="0"/>
    <n v="0"/>
    <n v="0"/>
    <n v="3"/>
    <s v="PD"/>
    <s v="BACTS"/>
    <n v="14"/>
    <s v="None"/>
    <s v="Posted"/>
    <n v="6"/>
    <s v="Penobscot"/>
    <s v="2020-22291"/>
    <s v="BREWER POLICE DEPARTMENT"/>
    <s v="20-072238"/>
    <n v="44.792607709999999"/>
    <n v="-68.762525350000004"/>
    <n v="9"/>
    <s v="September"/>
    <s v="19050"/>
    <n v="3944111"/>
    <n v="4"/>
    <s v="4 - Eastern Region"/>
    <s v="2"/>
    <s v="Urban"/>
    <s v="ELEMENT"/>
    <n v="262713"/>
    <n v="0.13"/>
  </r>
  <r>
    <x v="2"/>
    <s v="2024-35896"/>
    <d v="2024-12-11T00:00:00"/>
    <s v="Brewer"/>
    <s v="Wednesday"/>
    <s v="17:06:00"/>
    <x v="4"/>
    <s v="None"/>
    <s v="Dark - Lighted"/>
    <s v="Intersection Movement"/>
    <s v="Three Leg Intersection"/>
    <s v="Wet"/>
    <s v="Rain"/>
    <s v="Yes"/>
    <s v="Failed to Yield Right-of-Way"/>
    <m/>
    <s v="No Contributing Action"/>
    <m/>
    <n v="60190"/>
    <s v="0001A"/>
    <s v="US 1A"/>
    <n v="39.9"/>
    <n v="1"/>
    <n v="9615"/>
    <m/>
    <s v="N"/>
    <s v="N"/>
    <m/>
    <s v="N"/>
    <s v="No"/>
    <s v="No"/>
    <n v="2"/>
    <n v="2"/>
    <n v="0"/>
    <n v="0"/>
    <n v="0"/>
    <n v="0"/>
    <n v="0"/>
    <n v="2"/>
    <s v="PD"/>
    <s v="BACTS"/>
    <n v="17"/>
    <s v="Stop Signs - Other"/>
    <s v="Unknown"/>
    <n v="4"/>
    <s v="Penobscot"/>
    <s v="2024-35896"/>
    <s v="BREWER POLICE DEPARTMENT"/>
    <s v="24-092690"/>
    <n v="44.786212310000003"/>
    <n v="-68.754702559999998"/>
    <n v="12"/>
    <s v="December"/>
    <s v="19050"/>
    <n v="2071517"/>
    <n v="4"/>
    <s v="4 - Eastern Region"/>
    <s v="2"/>
    <s v="Urban"/>
    <s v="NODE"/>
    <n v="264622"/>
    <n v="0"/>
  </r>
  <r>
    <x v="2"/>
    <s v="2024-24166"/>
    <d v="2024-08-28T00:00:00"/>
    <s v="Brewer"/>
    <s v="Wednesday"/>
    <s v="15:46:00"/>
    <x v="4"/>
    <s v="None"/>
    <s v="Daylight"/>
    <s v="Rear End / Sideswipe"/>
    <s v="Four Leg Intersection"/>
    <s v="Dry"/>
    <s v="Clear"/>
    <s v="Yes"/>
    <s v="No Contributing Action"/>
    <m/>
    <s v="No Contributing Action"/>
    <m/>
    <n v="39685"/>
    <s v="0001A"/>
    <s v="US 1A"/>
    <n v="39.08"/>
    <n v="1"/>
    <n v="23788.5"/>
    <m/>
    <s v="N"/>
    <s v="N"/>
    <m/>
    <s v="N"/>
    <s v="No"/>
    <s v="No"/>
    <n v="2"/>
    <n v="2"/>
    <n v="0"/>
    <n v="0"/>
    <n v="0"/>
    <n v="0"/>
    <n v="0"/>
    <n v="2"/>
    <s v="PD"/>
    <s v="BACTS"/>
    <n v="15"/>
    <s v="Traffic Signals (Stop &amp; Go)"/>
    <s v="Unknown"/>
    <n v="4"/>
    <s v="Penobscot"/>
    <s v="2024-24166"/>
    <s v="BREWER POLICE DEPARTMENT"/>
    <s v="24-064496"/>
    <n v="44.794699999999999"/>
    <n v="-68.766159999999999"/>
    <n v="8"/>
    <s v="August"/>
    <s v="19050"/>
    <n v="3111001"/>
    <n v="4"/>
    <s v="4 - Eastern Region"/>
    <s v="2"/>
    <s v="Urban"/>
    <s v="NODE"/>
    <n v="266669"/>
    <n v="0"/>
  </r>
  <r>
    <x v="2"/>
    <s v="2020-11174"/>
    <d v="2020-05-07T00:00:00"/>
    <s v="Brewer"/>
    <s v="Thursday"/>
    <s v="16:50:00"/>
    <x v="5"/>
    <s v="None"/>
    <s v="Daylight"/>
    <s v="Intersection Movement"/>
    <s v="Four Leg Intersection"/>
    <s v="Dry"/>
    <s v="Clear"/>
    <s v="Yes"/>
    <s v="Ran Red Light"/>
    <s v="Unknown"/>
    <s v="No Contributing Action"/>
    <m/>
    <n v="39685"/>
    <s v="0001A"/>
    <s v="US 1A"/>
    <n v="39.08"/>
    <n v="1"/>
    <n v="23788.5"/>
    <m/>
    <s v="N"/>
    <s v="N"/>
    <s v="N"/>
    <s v="N"/>
    <s v="No"/>
    <s v="No"/>
    <n v="2"/>
    <n v="4"/>
    <n v="0"/>
    <n v="0"/>
    <n v="0"/>
    <n v="0"/>
    <n v="0"/>
    <n v="4"/>
    <s v="PD"/>
    <s v="BACTS"/>
    <n v="16"/>
    <s v="Traffic Signals (Stop &amp; Go)"/>
    <s v="Unknown"/>
    <n v="5"/>
    <s v="Penobscot"/>
    <s v="2020-11174"/>
    <s v="BREWER POLICE DEPARTMENT"/>
    <s v="20-033644"/>
    <n v="44.794701119999999"/>
    <n v="-68.766163859999992"/>
    <n v="5"/>
    <s v="May"/>
    <s v="19050"/>
    <n v="3111001"/>
    <n v="4"/>
    <s v="4 - Eastern Region"/>
    <s v="2"/>
    <s v="Urban"/>
    <s v="NODE"/>
    <n v="269074"/>
    <n v="0"/>
  </r>
  <r>
    <x v="2"/>
    <s v="2021-35933"/>
    <d v="2021-12-18T00:00:00"/>
    <s v="Brewer"/>
    <s v="Saturday"/>
    <s v="01:05:00"/>
    <x v="7"/>
    <s v="None"/>
    <s v="Dark - Lighted"/>
    <s v="Went Off Road"/>
    <s v="Straight Road"/>
    <s v="Dry"/>
    <s v="Clear"/>
    <s v="Yes"/>
    <s v="Ran Red Light"/>
    <s v="Failed to Keep in Proper Lane"/>
    <m/>
    <m/>
    <m/>
    <s v="0015B"/>
    <s v="ST RTE 15B"/>
    <n v="0.71000000000000008"/>
    <n v="2"/>
    <n v="12893"/>
    <n v="25"/>
    <s v="N"/>
    <s v="N"/>
    <s v="N"/>
    <s v="N"/>
    <s v="No"/>
    <s v="No"/>
    <n v="1"/>
    <n v="2"/>
    <n v="1"/>
    <n v="0"/>
    <n v="0"/>
    <n v="0"/>
    <n v="1"/>
    <n v="1"/>
    <s v="C"/>
    <s v="BACTS"/>
    <n v="1"/>
    <s v="Traffic Signals (Flashing)"/>
    <s v="Unposted"/>
    <n v="7"/>
    <s v="Penobscot"/>
    <s v="2021-35933"/>
    <s v="BREWER POLICE DEPARTMENT"/>
    <s v="21-096325"/>
    <n v="44.794580830000001"/>
    <n v="-68.766262389999994"/>
    <n v="12"/>
    <s v="December"/>
    <s v="19050"/>
    <n v="3111000"/>
    <n v="4"/>
    <s v="4 - Eastern Region"/>
    <s v="2"/>
    <s v="Urban"/>
    <s v="ELEMENT"/>
    <n v="270094"/>
    <n v="7.0000000000000007E-2"/>
  </r>
  <r>
    <x v="2"/>
    <s v="2021-34738"/>
    <d v="2021-12-09T00:00:00"/>
    <s v="Brewer"/>
    <s v="Thursday"/>
    <s v="14:43:00"/>
    <x v="7"/>
    <s v="None"/>
    <s v="Daylight"/>
    <s v="Rear End / Sideswipe"/>
    <s v="Four Leg Intersection"/>
    <s v="Wet"/>
    <s v="Clear"/>
    <s v="Yes"/>
    <s v="Other Contributing Action"/>
    <m/>
    <s v="No Contributing Action"/>
    <m/>
    <n v="39685"/>
    <s v="0001A"/>
    <s v="US 1A"/>
    <n v="39.08"/>
    <n v="1"/>
    <n v="23788.5"/>
    <m/>
    <s v="N"/>
    <s v="N"/>
    <s v="N"/>
    <s v="N"/>
    <s v="No"/>
    <s v="No"/>
    <n v="2"/>
    <n v="3"/>
    <n v="0"/>
    <n v="0"/>
    <n v="0"/>
    <n v="0"/>
    <n v="0"/>
    <n v="3"/>
    <s v="PD"/>
    <s v="BACTS"/>
    <n v="14"/>
    <s v="Traffic Signals (Stop &amp; Go)"/>
    <s v="Unknown"/>
    <n v="5"/>
    <s v="Penobscot"/>
    <s v="2021-34738"/>
    <s v="BREWER POLICE DEPARTMENT"/>
    <s v="21-093907"/>
    <n v="44.794701119999999"/>
    <n v="-68.766163859999992"/>
    <n v="12"/>
    <s v="December"/>
    <s v="19050"/>
    <n v="3111001"/>
    <n v="4"/>
    <s v="4 - Eastern Region"/>
    <s v="2"/>
    <s v="Urban"/>
    <s v="NODE"/>
    <n v="277469"/>
    <n v="0"/>
  </r>
  <r>
    <x v="2"/>
    <s v="2021-36593"/>
    <d v="2021-12-08T00:00:00"/>
    <s v="Brewer"/>
    <s v="Wednesday"/>
    <s v="16:23:00"/>
    <x v="7"/>
    <s v="Road Surface Condition (Wet, Icy, Snow, Slush, etc.)"/>
    <s v="Dusk"/>
    <s v="Rear End / Sideswipe"/>
    <s v="Four Leg Intersection"/>
    <s v="Snow"/>
    <s v="Snow"/>
    <s v="Yes"/>
    <s v="No Contributing Action"/>
    <m/>
    <s v="No Contributing Action"/>
    <m/>
    <n v="39685"/>
    <s v="0001A"/>
    <s v="US 1A"/>
    <n v="39.08"/>
    <n v="1"/>
    <n v="23788.5"/>
    <m/>
    <s v="N"/>
    <s v="N"/>
    <s v="N"/>
    <s v="N"/>
    <s v="No"/>
    <s v="No"/>
    <n v="2"/>
    <n v="3"/>
    <n v="0"/>
    <n v="0"/>
    <n v="0"/>
    <n v="0"/>
    <n v="0"/>
    <n v="3"/>
    <s v="PD"/>
    <s v="BACTS"/>
    <n v="16"/>
    <s v="Traffic Signals (Stop &amp; Go)"/>
    <s v="Unknown"/>
    <n v="4"/>
    <s v="Penobscot"/>
    <s v="2021-36593"/>
    <s v="BREWER POLICE DEPARTMENT"/>
    <s v="21-093665"/>
    <n v="44.794701119999999"/>
    <n v="-68.766163859999992"/>
    <n v="12"/>
    <s v="December"/>
    <s v="19050"/>
    <n v="3111001"/>
    <n v="4"/>
    <s v="4 - Eastern Region"/>
    <s v="2"/>
    <s v="Urban"/>
    <s v="NODE"/>
    <n v="277554"/>
    <n v="0"/>
  </r>
  <r>
    <x v="2"/>
    <s v="2020-19620"/>
    <d v="2020-08-18T00:00:00"/>
    <s v="Brewer"/>
    <s v="Tuesday"/>
    <s v="20:14:00"/>
    <x v="5"/>
    <s v="None"/>
    <s v="Dusk"/>
    <s v="Intersection Movement"/>
    <s v="Four Leg Intersection"/>
    <s v="Dry"/>
    <s v="Clear"/>
    <s v="Yes"/>
    <s v="Failed to Yield Right-of-Way"/>
    <m/>
    <s v="No Contributing Action"/>
    <m/>
    <n v="39685"/>
    <s v="0001A"/>
    <s v="US 1A"/>
    <n v="39.08"/>
    <n v="1"/>
    <n v="23788.5"/>
    <m/>
    <s v="N"/>
    <s v="N"/>
    <s v="N"/>
    <s v="N"/>
    <s v="No"/>
    <s v="No"/>
    <n v="2"/>
    <n v="3"/>
    <n v="0"/>
    <n v="0"/>
    <n v="0"/>
    <n v="0"/>
    <n v="0"/>
    <n v="3"/>
    <s v="PD"/>
    <s v="BACTS"/>
    <n v="20"/>
    <s v="Traffic Signals (Stop &amp; Go)"/>
    <s v="Unknown"/>
    <n v="3"/>
    <s v="Penobscot"/>
    <s v="2020-19620"/>
    <s v="BREWER POLICE DEPARTMENT"/>
    <s v="20-063171"/>
    <n v="44.794701119999999"/>
    <n v="-68.766163859999992"/>
    <n v="8"/>
    <s v="August"/>
    <s v="19050"/>
    <n v="3111001"/>
    <n v="4"/>
    <s v="4 - Eastern Region"/>
    <s v="2"/>
    <s v="Urban"/>
    <s v="NODE"/>
    <n v="279138"/>
    <n v="0"/>
  </r>
  <r>
    <x v="2"/>
    <s v="2023-34631"/>
    <d v="2023-11-14T00:00:00"/>
    <s v="Brewer"/>
    <s v="Tuesday  "/>
    <s v="15:16:00"/>
    <x v="0"/>
    <s v="None"/>
    <s v="Daylight"/>
    <s v="Rear End / Sideswipe"/>
    <s v="Three Leg Intersection"/>
    <s v="Dry"/>
    <s v="Clear"/>
    <m/>
    <s v="Followed Too Closely"/>
    <m/>
    <s v="No Contributing Action"/>
    <m/>
    <n v="39772"/>
    <s v="0001A"/>
    <s v="US 1A"/>
    <n v="39.229999999999997"/>
    <n v="1"/>
    <n v="8605.5"/>
    <m/>
    <s v="N"/>
    <s v="N"/>
    <m/>
    <s v="N"/>
    <s v="No"/>
    <s v="No"/>
    <n v="2"/>
    <n v="3"/>
    <n v="0"/>
    <n v="0"/>
    <n v="0"/>
    <n v="0"/>
    <n v="0"/>
    <n v="3"/>
    <s v="PD"/>
    <s v="BACTS"/>
    <n v="15"/>
    <s v="None"/>
    <s v="Unknown"/>
    <n v="3"/>
    <s v="Penobscot"/>
    <s v="2023-34631"/>
    <s v="BREWER POLICE DEPARTMENT"/>
    <s v="23-089545"/>
    <n v="44.79353708"/>
    <n v="-68.763670699999992"/>
    <n v="11"/>
    <s v="November"/>
    <s v="19050"/>
    <n v="220183"/>
    <n v="4"/>
    <s v="4 - Eastern Region"/>
    <s v="2"/>
    <s v="Urban"/>
    <s v="NODE"/>
    <n v="284143"/>
    <n v="0.03"/>
  </r>
  <r>
    <x v="2"/>
    <s v="2024-31616"/>
    <d v="2024-11-07T00:00:00"/>
    <s v="Brewer"/>
    <s v="Thursday "/>
    <s v="14:35:00"/>
    <x v="4"/>
    <s v="None"/>
    <s v="Daylight"/>
    <s v="Rear End / Sideswipe"/>
    <s v="Four Leg Intersection"/>
    <s v="Dry"/>
    <s v="Cloudy"/>
    <s v="Yes"/>
    <s v="Followed Too Closely"/>
    <m/>
    <s v="No Contributing Action"/>
    <m/>
    <n v="39685"/>
    <s v="0001A"/>
    <s v="US 1A"/>
    <n v="39.08"/>
    <n v="1"/>
    <n v="23788.5"/>
    <m/>
    <s v="N"/>
    <s v="N"/>
    <m/>
    <s v="N"/>
    <s v="No"/>
    <s v="No"/>
    <n v="2"/>
    <n v="4"/>
    <n v="2"/>
    <n v="0"/>
    <n v="0"/>
    <n v="1"/>
    <n v="1"/>
    <n v="2"/>
    <s v="B"/>
    <s v="BACTS"/>
    <n v="14"/>
    <s v="Traffic Signals (Stop &amp; Go)"/>
    <s v="Unknown"/>
    <n v="5"/>
    <s v="Penobscot"/>
    <s v="2024-31616"/>
    <s v="BREWER POLICE DEPARTMENT"/>
    <s v="24-084545"/>
    <n v="44.794701119999999"/>
    <n v="-68.766163859999992"/>
    <n v="11"/>
    <s v="November"/>
    <s v="19050"/>
    <n v="3111001"/>
    <n v="4"/>
    <s v="4 - Eastern Region"/>
    <s v="2"/>
    <s v="Urban"/>
    <s v="NODE"/>
    <n v="285808"/>
    <n v="0"/>
  </r>
  <r>
    <x v="2"/>
    <s v="2021-26962"/>
    <d v="2021-10-08T00:00:00"/>
    <s v="Brewer"/>
    <s v="Friday"/>
    <s v="07:34:00"/>
    <x v="7"/>
    <s v="None"/>
    <s v="Daylight"/>
    <s v="Intersection Movement"/>
    <s v="Driveways"/>
    <s v="Dry"/>
    <s v="Clear"/>
    <s v="Yes"/>
    <s v="Failed to Yield Right-of-Way"/>
    <m/>
    <s v="Improper Passing"/>
    <m/>
    <m/>
    <s v="0001A"/>
    <s v="US 1A"/>
    <n v="39.81"/>
    <n v="1"/>
    <n v="8935"/>
    <n v="25"/>
    <s v="N"/>
    <s v="N"/>
    <s v="N"/>
    <s v="N"/>
    <s v="No"/>
    <s v="No"/>
    <n v="2"/>
    <n v="2"/>
    <n v="0"/>
    <n v="0"/>
    <n v="0"/>
    <n v="0"/>
    <n v="0"/>
    <n v="2"/>
    <s v="PD"/>
    <s v="BACTS"/>
    <n v="7"/>
    <s v="Traffic Signals (Stop &amp; Go)"/>
    <s v="Posted"/>
    <n v="6"/>
    <s v="Penobscot"/>
    <s v="2021-26962"/>
    <s v="BREWER POLICE DEPARTMENT"/>
    <s v="21-076720"/>
    <n v="44.78728022"/>
    <n v="-68.756007760000003"/>
    <n v="10"/>
    <s v="October"/>
    <s v="19050"/>
    <n v="3115152"/>
    <n v="4"/>
    <s v="4 - Eastern Region"/>
    <s v="2"/>
    <s v="Urban"/>
    <s v="ELEMENT"/>
    <n v="289123"/>
    <n v="0.03"/>
  </r>
  <r>
    <x v="2"/>
    <s v="2021-27273"/>
    <d v="2021-10-07T00:00:00"/>
    <s v="Brewer"/>
    <s v="Thursday"/>
    <s v="16:46:00"/>
    <x v="7"/>
    <s v="None"/>
    <s v="Daylight"/>
    <s v="Rear End / Sideswipe"/>
    <s v="Three Leg Intersection"/>
    <s v="Dry"/>
    <s v="Clear"/>
    <s v="Yes"/>
    <s v="No Contributing Action"/>
    <m/>
    <m/>
    <m/>
    <n v="38309"/>
    <s v="0001A"/>
    <s v="US 1A"/>
    <n v="39.840000000000003"/>
    <n v="1"/>
    <n v="9913.5"/>
    <m/>
    <s v="N"/>
    <s v="N"/>
    <s v="N"/>
    <s v="N"/>
    <s v="No"/>
    <s v="No"/>
    <n v="2"/>
    <n v="4"/>
    <n v="0"/>
    <n v="0"/>
    <n v="0"/>
    <n v="0"/>
    <n v="0"/>
    <n v="4"/>
    <s v="PD"/>
    <s v="BACTS"/>
    <n v="16"/>
    <s v="Traffic Signals (Stop &amp; Go)"/>
    <s v="Unknown"/>
    <n v="5"/>
    <s v="Penobscot"/>
    <s v="2021-27273"/>
    <s v="BREWER POLICE DEPARTMENT"/>
    <s v="21-076593"/>
    <n v="44.786902750000003"/>
    <n v="-68.75555507"/>
    <n v="10"/>
    <s v="October"/>
    <s v="19050"/>
    <n v="3115152"/>
    <n v="4"/>
    <s v="4 - Eastern Region"/>
    <s v="2"/>
    <s v="Urban"/>
    <s v="NODE"/>
    <n v="290109"/>
    <n v="0"/>
  </r>
  <r>
    <x v="2"/>
    <s v="2021-26906"/>
    <d v="2021-10-07T00:00:00"/>
    <s v="Brewer"/>
    <s v="Thursday"/>
    <s v="17:40:00"/>
    <x v="7"/>
    <s v="None"/>
    <s v="Daylight"/>
    <s v="Bicycle"/>
    <s v="Three Leg Intersection"/>
    <s v="Dry"/>
    <s v="Clear"/>
    <s v="Yes"/>
    <s v="No Contributing Action"/>
    <m/>
    <m/>
    <m/>
    <n v="39771"/>
    <s v="0001A"/>
    <s v="US 1A"/>
    <n v="39.26"/>
    <n v="1"/>
    <n v="8864"/>
    <m/>
    <s v="Y"/>
    <s v="N"/>
    <s v="N"/>
    <s v="N"/>
    <s v="No"/>
    <s v="No"/>
    <n v="2"/>
    <n v="2"/>
    <n v="1"/>
    <n v="0"/>
    <n v="0"/>
    <n v="0"/>
    <n v="1"/>
    <n v="1"/>
    <s v="C"/>
    <s v="BACTS"/>
    <n v="17"/>
    <s v="Stop Signs - Other"/>
    <s v="Unknown"/>
    <n v="5"/>
    <s v="Penobscot"/>
    <s v="2021-26906"/>
    <s v="BREWER POLICE DEPARTMENT"/>
    <s v="21-076605"/>
    <n v="44.7932104"/>
    <n v="-68.763276059999995"/>
    <n v="10"/>
    <s v="October"/>
    <s v="19050"/>
    <n v="220183"/>
    <n v="4"/>
    <s v="4 - Eastern Region"/>
    <s v="2"/>
    <s v="Urban"/>
    <s v="NODE"/>
    <n v="290326"/>
    <n v="0"/>
  </r>
  <r>
    <x v="2"/>
    <s v="2020-19235"/>
    <d v="2020-08-13T00:00:00"/>
    <s v="Brewer"/>
    <s v="Thursday"/>
    <s v="07:50:00"/>
    <x v="5"/>
    <s v="None"/>
    <s v="Daylight"/>
    <s v="Rear End / Sideswipe"/>
    <s v="Four Leg Intersection"/>
    <s v="Dry"/>
    <s v="Clear"/>
    <s v="Yes"/>
    <s v="Followed Too Closely"/>
    <m/>
    <s v="No Contributing Action"/>
    <m/>
    <n v="39685"/>
    <s v="0001A"/>
    <s v="US 1A"/>
    <n v="39.08"/>
    <n v="1"/>
    <n v="23788.5"/>
    <m/>
    <s v="N"/>
    <s v="N"/>
    <s v="N"/>
    <s v="N"/>
    <s v="No"/>
    <s v="No"/>
    <n v="2"/>
    <n v="2"/>
    <n v="0"/>
    <n v="0"/>
    <n v="0"/>
    <n v="0"/>
    <n v="0"/>
    <n v="2"/>
    <s v="PD"/>
    <s v="BACTS"/>
    <n v="7"/>
    <s v="Traffic Signals (Stop &amp; Go)"/>
    <s v="Unknown"/>
    <n v="5"/>
    <s v="Penobscot"/>
    <s v="2020-19235"/>
    <s v="BREWER POLICE DEPARTMENT"/>
    <s v="20-061487"/>
    <n v="44.794701119999999"/>
    <n v="-68.766163859999992"/>
    <n v="8"/>
    <s v="August"/>
    <s v="19050"/>
    <n v="3111001"/>
    <n v="4"/>
    <s v="4 - Eastern Region"/>
    <s v="2"/>
    <s v="Urban"/>
    <s v="NODE"/>
    <n v="290971"/>
    <n v="0"/>
  </r>
  <r>
    <x v="2"/>
    <s v="2021-15150"/>
    <d v="2021-06-19T00:00:00"/>
    <s v="Brewer"/>
    <s v="Saturday"/>
    <s v="16:30:00"/>
    <x v="7"/>
    <s v="None"/>
    <s v="Daylight"/>
    <s v="Rear End / Sideswipe"/>
    <s v="Four Leg Intersection"/>
    <s v="Wet"/>
    <s v="Clear"/>
    <s v="Yes"/>
    <s v="Followed Too Closely"/>
    <s v="No Contributing Action"/>
    <s v="No Contributing Action"/>
    <m/>
    <n v="39685"/>
    <s v="0001A"/>
    <s v="US 1A"/>
    <n v="39.08"/>
    <n v="1"/>
    <n v="23788.5"/>
    <m/>
    <s v="N"/>
    <s v="N"/>
    <s v="N"/>
    <s v="N"/>
    <s v="No"/>
    <s v="No"/>
    <n v="2"/>
    <n v="3"/>
    <n v="0"/>
    <n v="0"/>
    <n v="0"/>
    <n v="0"/>
    <n v="0"/>
    <n v="3"/>
    <s v="PD"/>
    <s v="BACTS"/>
    <n v="16"/>
    <s v="Traffic Signals (Stop &amp; Go)"/>
    <s v="Unknown"/>
    <n v="7"/>
    <s v="Penobscot"/>
    <s v="2021-15150"/>
    <s v="BREWER POLICE DEPARTMENT"/>
    <s v="21-043813"/>
    <n v="44.794701119999999"/>
    <n v="-68.766163859999992"/>
    <n v="6"/>
    <s v="June"/>
    <s v="19050"/>
    <n v="3111001"/>
    <n v="4"/>
    <s v="4 - Eastern Region"/>
    <s v="2"/>
    <s v="Urban"/>
    <s v="NODE"/>
    <n v="293700"/>
    <n v="0"/>
  </r>
  <r>
    <x v="2"/>
    <s v="2024-19491"/>
    <d v="2024-07-11T00:00:00"/>
    <s v="Brewer"/>
    <s v="Thursday "/>
    <s v="09:44:00"/>
    <x v="4"/>
    <s v="None"/>
    <s v="Daylight"/>
    <s v="Rear End / Sideswipe"/>
    <s v="Driveways"/>
    <s v="Dry"/>
    <s v="Clear"/>
    <m/>
    <s v="Followed Too Closely"/>
    <m/>
    <s v="No Contributing Action"/>
    <m/>
    <m/>
    <s v="0001A"/>
    <s v="US 1A"/>
    <n v="39.25"/>
    <n v="1"/>
    <n v="8531"/>
    <n v="25"/>
    <s v="N"/>
    <s v="N"/>
    <m/>
    <s v="N"/>
    <s v="No"/>
    <s v="No"/>
    <n v="2"/>
    <n v="2"/>
    <n v="0"/>
    <n v="0"/>
    <n v="0"/>
    <n v="0"/>
    <n v="0"/>
    <n v="2"/>
    <s v="PD"/>
    <s v="BACTS"/>
    <n v="9"/>
    <s v="None"/>
    <s v="Posted"/>
    <n v="5"/>
    <s v="Penobscot"/>
    <s v="2024-19491"/>
    <s v="BREWER POLICE DEPARTMENT"/>
    <s v="24-050845"/>
    <n v="44.793333019999999"/>
    <n v="-68.763422259999999"/>
    <n v="7"/>
    <s v="July"/>
    <s v="19050"/>
    <n v="220183"/>
    <n v="4"/>
    <s v="4 - Eastern Region"/>
    <s v="2"/>
    <s v="Urban"/>
    <s v="ELEMENT"/>
    <n v="294506"/>
    <n v="0.01"/>
  </r>
  <r>
    <x v="2"/>
    <s v="2022-11018"/>
    <d v="2022-03-04T00:00:00"/>
    <s v="Brewer"/>
    <s v="Friday"/>
    <s v="16:56:00"/>
    <x v="3"/>
    <s v="None"/>
    <s v="Daylight"/>
    <s v="Rear End / Sideswipe"/>
    <s v="Driveways"/>
    <s v="Dry"/>
    <s v="Clear"/>
    <m/>
    <s v="Improper Passing"/>
    <m/>
    <s v="Improper Turn"/>
    <m/>
    <m/>
    <s v="0001A"/>
    <s v="US 1A"/>
    <n v="39.4"/>
    <n v="1"/>
    <n v="8737"/>
    <n v="25"/>
    <s v="N"/>
    <s v="N"/>
    <s v="N"/>
    <s v="N"/>
    <s v="No"/>
    <s v="No"/>
    <n v="2"/>
    <n v="2"/>
    <n v="0"/>
    <n v="0"/>
    <n v="0"/>
    <n v="0"/>
    <n v="0"/>
    <n v="2"/>
    <s v="PD"/>
    <s v="BACTS"/>
    <n v="16"/>
    <s v="None"/>
    <s v="Posted"/>
    <n v="6"/>
    <s v="Penobscot"/>
    <s v="2022-11018"/>
    <s v="BREWER POLICE DEPARTMENT"/>
    <s v="22-016036"/>
    <n v="44.791713540000003"/>
    <n v="-68.761439469999999"/>
    <n v="3"/>
    <s v="March"/>
    <s v="19050"/>
    <n v="3944111"/>
    <n v="4"/>
    <s v="4 - Eastern Region"/>
    <s v="2"/>
    <s v="Urban"/>
    <s v="ELEMENT"/>
    <n v="300831"/>
    <n v="0.05"/>
  </r>
  <r>
    <x v="2"/>
    <s v="2019-44563"/>
    <d v="2019-03-04T00:00:00"/>
    <s v="Brewer"/>
    <s v="Monday"/>
    <s v="16:18:00"/>
    <x v="6"/>
    <s v="None"/>
    <s v="Daylight"/>
    <s v="Intersection Movement"/>
    <s v="Driveways"/>
    <s v="Wet"/>
    <s v="Clear"/>
    <m/>
    <s v="Failed to Yield Right-of-Way"/>
    <m/>
    <s v="No Contributing Action"/>
    <m/>
    <m/>
    <s v="0015B"/>
    <s v="ST RTE 15B"/>
    <n v="0.70000000000000007"/>
    <n v="2"/>
    <n v="12893"/>
    <n v="25"/>
    <s v="N"/>
    <s v="N"/>
    <s v="N"/>
    <s v="N"/>
    <s v="No"/>
    <s v="No"/>
    <n v="2"/>
    <n v="3"/>
    <n v="0"/>
    <n v="0"/>
    <n v="0"/>
    <n v="0"/>
    <n v="0"/>
    <n v="3"/>
    <s v="PD"/>
    <s v="BACTS"/>
    <n v="16"/>
    <s v="None"/>
    <s v="Unposted"/>
    <n v="2"/>
    <s v="Penobscot"/>
    <s v="2019-44563"/>
    <s v="PENOBSCOT COUNTY SHERIFFS DEPT"/>
    <s v="19-016284"/>
    <n v="44.79442375"/>
    <n v="-68.766388079999999"/>
    <n v="3"/>
    <s v="March"/>
    <s v="19050"/>
    <n v="3111000"/>
    <n v="4"/>
    <s v="4 - Eastern Region"/>
    <s v="2"/>
    <s v="Urban"/>
    <s v="ELEMENT"/>
    <n v="303242"/>
    <n v="0.06"/>
  </r>
  <r>
    <x v="2"/>
    <s v="2018-21899"/>
    <d v="2018-05-10T00:00:00"/>
    <s v="Brewer"/>
    <s v="Thursday"/>
    <s v="15:30:00"/>
    <x v="2"/>
    <s v="None"/>
    <s v="Daylight"/>
    <s v="Rear End / Sideswipe"/>
    <s v="Driveways"/>
    <s v="Dry"/>
    <s v="Clear"/>
    <m/>
    <s v="Followed Too Closely"/>
    <m/>
    <s v="No Contributing Action"/>
    <m/>
    <m/>
    <s v="0001A"/>
    <s v="US 1A"/>
    <n v="39.119999999999997"/>
    <n v="1"/>
    <n v="8494"/>
    <n v="25"/>
    <s v="N"/>
    <s v="N"/>
    <s v="N"/>
    <s v="N"/>
    <s v="No"/>
    <s v="No"/>
    <n v="2"/>
    <n v="2"/>
    <n v="0"/>
    <n v="0"/>
    <n v="0"/>
    <n v="0"/>
    <n v="0"/>
    <n v="2"/>
    <s v="PD"/>
    <s v="BACTS"/>
    <n v="15"/>
    <s v="None"/>
    <s v="Posted"/>
    <n v="5"/>
    <s v="Penobscot"/>
    <s v="2018-21899"/>
    <s v="BREWER POLICE DEPARTMENT"/>
    <s v="18-034707"/>
    <n v="44.794387370000003"/>
    <n v="-68.765489729999999"/>
    <n v="5"/>
    <s v="May"/>
    <s v="19050"/>
    <n v="3119550"/>
    <n v="4"/>
    <s v="4 - Eastern Region"/>
    <s v="2"/>
    <s v="Urban"/>
    <s v="ELEMENT"/>
    <n v="305129"/>
    <n v="0.04"/>
  </r>
  <r>
    <x v="2"/>
    <s v="2018-32545"/>
    <d v="2018-11-02T00:00:00"/>
    <s v="Brewer"/>
    <s v="Friday"/>
    <s v="09:26:00"/>
    <x v="2"/>
    <s v="None"/>
    <s v="Daylight"/>
    <s v="Rear End / Sideswipe"/>
    <s v="Four Leg Intersection"/>
    <s v="Wet"/>
    <s v="Rain"/>
    <s v="Yes"/>
    <s v="Followed Too Closely"/>
    <m/>
    <s v="No Contributing Action"/>
    <m/>
    <n v="39685"/>
    <s v="0001A"/>
    <s v="US 1A"/>
    <n v="39.08"/>
    <n v="1"/>
    <n v="23788.5"/>
    <m/>
    <s v="N"/>
    <s v="N"/>
    <s v="N"/>
    <s v="N"/>
    <s v="No"/>
    <s v="No"/>
    <n v="2"/>
    <n v="4"/>
    <n v="0"/>
    <n v="0"/>
    <n v="0"/>
    <n v="0"/>
    <n v="0"/>
    <n v="4"/>
    <s v="PD"/>
    <s v="BACTS"/>
    <n v="9"/>
    <s v="Traffic Signals (Stop &amp; Go)"/>
    <s v="Unknown"/>
    <n v="6"/>
    <s v="Penobscot"/>
    <s v="2018-32545"/>
    <s v="BREWER POLICE DEPARTMENT"/>
    <s v="18-088576"/>
    <n v="44.794701119999999"/>
    <n v="-68.766163859999992"/>
    <n v="11"/>
    <s v="November"/>
    <s v="19050"/>
    <n v="3111001"/>
    <n v="4"/>
    <s v="4 - Eastern Region"/>
    <s v="2"/>
    <s v="Urban"/>
    <s v="NODE"/>
    <n v="307006"/>
    <n v="0"/>
  </r>
  <r>
    <x v="2"/>
    <s v="2018-32597"/>
    <d v="2018-11-02T00:00:00"/>
    <s v="Brewer"/>
    <s v="Friday"/>
    <s v="17:36:00"/>
    <x v="2"/>
    <s v="None"/>
    <s v="Dark - Lighted"/>
    <s v="Intersection Movement"/>
    <s v="Four Leg Intersection"/>
    <s v="Wet"/>
    <s v="Clear"/>
    <s v="Yes"/>
    <s v="Improper Turn"/>
    <s v="Operated Motor Vehicle in Erratic, Reckless, Careless, Negligent or Aggressive Manner"/>
    <s v="No Contributing Action"/>
    <m/>
    <n v="39685"/>
    <s v="0001A"/>
    <s v="US 1A"/>
    <n v="39.08"/>
    <n v="1"/>
    <n v="23788.5"/>
    <m/>
    <s v="N"/>
    <s v="N"/>
    <s v="N"/>
    <s v="N"/>
    <s v="No"/>
    <s v="No"/>
    <n v="2"/>
    <n v="2"/>
    <n v="0"/>
    <n v="0"/>
    <n v="0"/>
    <n v="0"/>
    <n v="0"/>
    <n v="2"/>
    <s v="PD"/>
    <s v="BACTS"/>
    <n v="17"/>
    <s v="Traffic Signals (Stop &amp; Go)"/>
    <s v="Unknown"/>
    <n v="6"/>
    <s v="Penobscot"/>
    <s v="2018-32597"/>
    <s v="BREWER POLICE DEPARTMENT"/>
    <s v="18-088728"/>
    <n v="44.794701119999999"/>
    <n v="-68.766163859999992"/>
    <n v="11"/>
    <s v="November"/>
    <s v="19050"/>
    <n v="3111001"/>
    <n v="4"/>
    <s v="4 - Eastern Region"/>
    <s v="2"/>
    <s v="Urban"/>
    <s v="NODE"/>
    <n v="307657"/>
    <n v="0"/>
  </r>
  <r>
    <x v="2"/>
    <s v="2024-14144"/>
    <d v="2024-05-28T00:00:00"/>
    <s v="Brewer"/>
    <s v="Tuesday  "/>
    <s v="11:16:00"/>
    <x v="4"/>
    <s v="None"/>
    <s v="Daylight"/>
    <s v="Rear End / Sideswipe"/>
    <s v="Driveways"/>
    <s v="Dry"/>
    <s v="Cloudy"/>
    <m/>
    <s v="Other Contributing Action"/>
    <m/>
    <s v="No Contributing Action"/>
    <m/>
    <m/>
    <s v="0001A"/>
    <s v="US 1A"/>
    <n v="39.380000000000003"/>
    <n v="1"/>
    <n v="8737"/>
    <n v="25"/>
    <s v="N"/>
    <s v="N"/>
    <m/>
    <s v="N"/>
    <s v="No"/>
    <s v="No"/>
    <n v="2"/>
    <n v="3"/>
    <n v="2"/>
    <n v="0"/>
    <n v="0"/>
    <n v="1"/>
    <n v="1"/>
    <n v="1"/>
    <s v="B"/>
    <s v="BACTS"/>
    <n v="11"/>
    <s v="None"/>
    <s v="Posted"/>
    <n v="3"/>
    <s v="Penobscot"/>
    <s v="2024-14144"/>
    <s v="BREWER POLICE DEPARTMENT"/>
    <s v="24-038127"/>
    <n v="44.79196254"/>
    <n v="-68.761740310000008"/>
    <n v="5"/>
    <s v="May"/>
    <s v="19050"/>
    <n v="3944111"/>
    <n v="4"/>
    <s v="4 - Eastern Region"/>
    <s v="2"/>
    <s v="Urban"/>
    <s v="ELEMENT"/>
    <n v="309366"/>
    <n v="7.0000000000000007E-2"/>
  </r>
  <r>
    <x v="2"/>
    <s v="2018-28371"/>
    <d v="2018-10-06T00:00:00"/>
    <s v="Brewer"/>
    <s v="Saturday"/>
    <s v="09:57:00"/>
    <x v="2"/>
    <s v="None"/>
    <s v="Daylight"/>
    <s v="Rear End / Sideswipe"/>
    <s v="Driveways"/>
    <s v="Dry"/>
    <s v="Clear"/>
    <s v="Yes"/>
    <m/>
    <m/>
    <s v="Improper Backing"/>
    <m/>
    <m/>
    <s v="0001A"/>
    <s v="US 1A"/>
    <n v="39.65"/>
    <n v="1"/>
    <n v="8755"/>
    <n v="25"/>
    <s v="N"/>
    <s v="N"/>
    <s v="N"/>
    <s v="N"/>
    <s v="No"/>
    <s v="No"/>
    <n v="2"/>
    <n v="2"/>
    <n v="0"/>
    <n v="0"/>
    <n v="0"/>
    <n v="0"/>
    <n v="0"/>
    <n v="2"/>
    <s v="PD"/>
    <s v="BACTS"/>
    <n v="9"/>
    <s v="None"/>
    <s v="Posted"/>
    <n v="7"/>
    <s v="Penobscot"/>
    <s v="2018-28371"/>
    <s v="BREWER POLICE DEPARTMENT"/>
    <s v="18-080950"/>
    <n v="44.788952429999988"/>
    <n v="-68.758081609999991"/>
    <n v="10"/>
    <s v="October"/>
    <s v="19050"/>
    <n v="3132133"/>
    <n v="4"/>
    <s v="4 - Eastern Region"/>
    <s v="2"/>
    <s v="Urban"/>
    <s v="ELEMENT"/>
    <n v="312578"/>
    <n v="7.0000000000000007E-2"/>
  </r>
  <r>
    <x v="2"/>
    <s v="2023-18063"/>
    <d v="2023-06-23T00:00:00"/>
    <s v="Brewer"/>
    <s v="Friday"/>
    <s v="17:55:00"/>
    <x v="0"/>
    <s v="Obstruction in Roadway"/>
    <s v="Daylight"/>
    <s v="Rear End / Sideswipe"/>
    <s v="Three Leg Intersection"/>
    <s v="Dry"/>
    <s v="Clear"/>
    <s v="Yes"/>
    <s v="Followed Too Closely"/>
    <m/>
    <s v="No Contributing Action"/>
    <m/>
    <n v="39766"/>
    <s v="0001A"/>
    <s v="US 1A"/>
    <n v="39.6"/>
    <n v="1"/>
    <n v="9537.5"/>
    <m/>
    <s v="N"/>
    <s v="N"/>
    <m/>
    <s v="N"/>
    <s v="No"/>
    <s v="No"/>
    <n v="2"/>
    <n v="2"/>
    <n v="0"/>
    <n v="0"/>
    <n v="0"/>
    <n v="0"/>
    <n v="0"/>
    <n v="2"/>
    <s v="PD"/>
    <s v="BACTS"/>
    <n v="17"/>
    <s v="Stop Signs - Other"/>
    <s v="Unknown"/>
    <n v="6"/>
    <s v="Penobscot"/>
    <s v="2023-18063"/>
    <s v="BREWER POLICE DEPARTMENT"/>
    <s v="23-047735"/>
    <n v="44.789548969999998"/>
    <n v="-68.758795660000004"/>
    <n v="6"/>
    <s v="June"/>
    <s v="19050"/>
    <n v="3118758"/>
    <n v="4"/>
    <s v="4 - Eastern Region"/>
    <s v="2"/>
    <s v="Urban"/>
    <s v="NODE"/>
    <n v="313739"/>
    <n v="0"/>
  </r>
  <r>
    <x v="2"/>
    <s v="2019-61737"/>
    <d v="2019-08-14T00:00:00"/>
    <s v="Brewer"/>
    <s v="Wednesday"/>
    <s v="13:31:00"/>
    <x v="6"/>
    <s v="None"/>
    <s v="Daylight"/>
    <s v="Intersection Movement"/>
    <s v="Three Leg Intersection"/>
    <s v="Dry"/>
    <s v="Clear"/>
    <s v="Yes"/>
    <s v="Failed to Yield Right-of-Way"/>
    <m/>
    <s v="No Contributing Action"/>
    <m/>
    <n v="39771"/>
    <s v="0001A"/>
    <s v="US 1A"/>
    <n v="39.26"/>
    <n v="1"/>
    <n v="8864"/>
    <m/>
    <s v="N"/>
    <s v="N"/>
    <s v="N"/>
    <s v="N"/>
    <s v="No"/>
    <s v="No"/>
    <n v="2"/>
    <n v="4"/>
    <n v="1"/>
    <n v="0"/>
    <n v="0"/>
    <n v="0"/>
    <n v="1"/>
    <n v="3"/>
    <s v="C"/>
    <s v="BACTS"/>
    <n v="13"/>
    <s v="Stop Signs - Other"/>
    <s v="Unknown"/>
    <n v="4"/>
    <s v="Penobscot"/>
    <s v="2019-61737"/>
    <s v="BREWER POLICE DEPARTMENT"/>
    <s v="19-065446"/>
    <n v="44.7932104"/>
    <n v="-68.763276059999995"/>
    <n v="8"/>
    <s v="August"/>
    <s v="19050"/>
    <n v="220183"/>
    <n v="4"/>
    <s v="4 - Eastern Region"/>
    <s v="2"/>
    <s v="Urban"/>
    <s v="NODE"/>
    <n v="314082"/>
    <n v="0"/>
  </r>
  <r>
    <x v="2"/>
    <s v="2018-31711"/>
    <d v="2018-10-29T00:00:00"/>
    <s v="Brewer"/>
    <s v="Monday"/>
    <s v="07:14:00"/>
    <x v="2"/>
    <s v="None"/>
    <s v="Daylight"/>
    <s v="Deer"/>
    <s v="Straight Road"/>
    <s v="Dry"/>
    <s v="Clear"/>
    <m/>
    <s v="No Contributing Action"/>
    <m/>
    <m/>
    <m/>
    <m/>
    <s v="0001A"/>
    <s v="US 1A"/>
    <n v="39.67"/>
    <n v="1"/>
    <n v="8755"/>
    <n v="25"/>
    <s v="N"/>
    <s v="N"/>
    <s v="N"/>
    <s v="N"/>
    <s v="No"/>
    <s v="No"/>
    <n v="1"/>
    <n v="1"/>
    <n v="0"/>
    <n v="0"/>
    <n v="0"/>
    <n v="0"/>
    <n v="0"/>
    <n v="1"/>
    <s v="PD"/>
    <s v="BACTS"/>
    <n v="7"/>
    <s v="None"/>
    <s v="Posted"/>
    <n v="2"/>
    <s v="Penobscot"/>
    <s v="2018-31711"/>
    <s v="BREWER POLICE DEPARTMENT"/>
    <s v="18-087299"/>
    <n v="44.788802100000012"/>
    <n v="-68.75790167000001"/>
    <n v="10"/>
    <s v="October"/>
    <s v="19050"/>
    <n v="3132133"/>
    <n v="4"/>
    <s v="4 - Eastern Region"/>
    <s v="2"/>
    <s v="Urban"/>
    <s v="ELEMENT"/>
    <n v="314561"/>
    <n v="0.05"/>
  </r>
  <r>
    <x v="2"/>
    <s v="2018-21901"/>
    <d v="2018-05-11T00:00:00"/>
    <s v="Brewer"/>
    <s v="Friday"/>
    <s v="13:30:00"/>
    <x v="2"/>
    <s v="None"/>
    <s v="Daylight"/>
    <s v="Went Off Road"/>
    <s v="Straight Road"/>
    <s v="Dry"/>
    <s v="Clear"/>
    <m/>
    <s v="Swerved or Avoided Due to Wind, Slippery Surface, Motor Vehicle, Object, Non-Motorist in Roadway"/>
    <m/>
    <m/>
    <m/>
    <m/>
    <s v="0001A"/>
    <s v="US 1A"/>
    <n v="39.04"/>
    <n v="1"/>
    <n v="14970"/>
    <n v="25"/>
    <s v="N"/>
    <s v="N"/>
    <s v="N"/>
    <s v="N"/>
    <s v="No"/>
    <s v="No"/>
    <n v="1"/>
    <n v="1"/>
    <n v="0"/>
    <n v="0"/>
    <n v="0"/>
    <n v="0"/>
    <n v="0"/>
    <n v="1"/>
    <s v="PD"/>
    <s v="BACTS"/>
    <n v="13"/>
    <s v="None"/>
    <s v="Posted"/>
    <n v="6"/>
    <s v="Penobscot"/>
    <s v="2018-21901"/>
    <s v="BREWER POLICE DEPARTMENT"/>
    <s v="18-034973"/>
    <n v="44.795113239999999"/>
    <n v="-68.76670077"/>
    <n v="5"/>
    <s v="May"/>
    <s v="19050"/>
    <n v="3111002"/>
    <n v="4"/>
    <s v="4 - Eastern Region"/>
    <s v="2"/>
    <s v="Urban"/>
    <s v="ELEMENT"/>
    <n v="314662"/>
    <n v="0.04"/>
  </r>
  <r>
    <x v="2"/>
    <s v="2022-893"/>
    <d v="2022-01-10T00:00:00"/>
    <s v="Brewer"/>
    <s v="Monday"/>
    <s v="21:17:00"/>
    <x v="3"/>
    <s v="None"/>
    <s v="Dark - Lighted"/>
    <s v="Intersection Movement"/>
    <s v="Three Leg Intersection"/>
    <s v="Dry"/>
    <s v="Clear"/>
    <s v="Yes"/>
    <s v="Improper Turn"/>
    <m/>
    <s v="No Contributing Action"/>
    <m/>
    <n v="39767"/>
    <s v="0001A"/>
    <s v="US 1A"/>
    <n v="39.58"/>
    <n v="1"/>
    <n v="9501"/>
    <m/>
    <s v="N"/>
    <s v="N"/>
    <s v="N"/>
    <s v="N"/>
    <s v="No"/>
    <s v="No"/>
    <n v="2"/>
    <n v="3"/>
    <n v="0"/>
    <n v="0"/>
    <n v="0"/>
    <n v="0"/>
    <n v="0"/>
    <n v="3"/>
    <s v="PD"/>
    <s v="BACTS"/>
    <n v="21"/>
    <s v="Stop Signs - Other"/>
    <s v="Unknown"/>
    <n v="2"/>
    <s v="Penobscot"/>
    <s v="2022-00893"/>
    <s v="BREWER POLICE DEPARTMENT"/>
    <s v="22-002516"/>
    <n v="44.789710600000006"/>
    <n v="-68.759029319999996"/>
    <n v="1"/>
    <s v="January"/>
    <s v="19050"/>
    <n v="3124231"/>
    <n v="4"/>
    <s v="4 - Eastern Region"/>
    <s v="2"/>
    <s v="Urban"/>
    <s v="NODE"/>
    <n v="317403"/>
    <n v="0"/>
  </r>
  <r>
    <x v="2"/>
    <s v="2022-1429"/>
    <d v="2022-01-11T00:00:00"/>
    <s v="Brewer"/>
    <s v="Tuesday"/>
    <s v="19:55:00"/>
    <x v="3"/>
    <s v="Road Surface Condition (Wet, Icy, Snow, Slush, etc.)"/>
    <s v="Dark - Lighted"/>
    <s v="Intersection Movement"/>
    <s v="Driveways"/>
    <s v="Dry"/>
    <s v="Clear"/>
    <m/>
    <s v="Other Contributing Action"/>
    <m/>
    <s v="No Contributing Action"/>
    <m/>
    <m/>
    <s v="001AS"/>
    <s v="US 1AS"/>
    <n v="0.42"/>
    <n v="1"/>
    <n v="4387"/>
    <n v="25"/>
    <s v="N"/>
    <s v="N"/>
    <s v="N"/>
    <s v="N"/>
    <s v="No"/>
    <s v="No"/>
    <n v="2"/>
    <n v="2"/>
    <n v="0"/>
    <n v="0"/>
    <n v="0"/>
    <n v="0"/>
    <n v="0"/>
    <n v="2"/>
    <s v="PD"/>
    <s v="BACTS"/>
    <n v="19"/>
    <s v="None"/>
    <s v="Posted"/>
    <n v="3"/>
    <s v="Penobscot"/>
    <s v="2022-01429"/>
    <s v="BREWER POLICE DEPARTMENT"/>
    <s v="22-002761"/>
    <n v="44.78501086"/>
    <n v="-68.753138399999997"/>
    <n v="1"/>
    <s v="January"/>
    <s v="19050"/>
    <n v="3111272"/>
    <n v="4"/>
    <s v="4 - Eastern Region"/>
    <s v="2"/>
    <s v="Urban"/>
    <s v="ELEMENT"/>
    <n v="317492"/>
    <n v="0.03"/>
  </r>
  <r>
    <x v="2"/>
    <s v="2022-33620"/>
    <d v="2022-11-16T00:00:00"/>
    <s v="Brewer"/>
    <s v="Wednesday"/>
    <s v="17:13:00"/>
    <x v="3"/>
    <s v="Road Surface Condition (Wet, Icy, Snow, Slush, etc.)"/>
    <s v="Dark - Not Lighted"/>
    <s v="Rear End / Sideswipe"/>
    <s v="Four Leg Intersection"/>
    <s v="Wet"/>
    <s v="Rain"/>
    <s v="Yes"/>
    <s v="Unknown"/>
    <m/>
    <s v="No Contributing Action"/>
    <m/>
    <n v="39685"/>
    <s v="0001A"/>
    <s v="US 1A"/>
    <n v="39.08"/>
    <n v="1"/>
    <n v="23788.5"/>
    <m/>
    <s v="N"/>
    <s v="N"/>
    <m/>
    <s v="N"/>
    <s v="No"/>
    <s v="No"/>
    <n v="2"/>
    <n v="2"/>
    <n v="0"/>
    <n v="0"/>
    <n v="0"/>
    <n v="0"/>
    <n v="0"/>
    <n v="1"/>
    <s v="PD"/>
    <s v="BACTS"/>
    <n v="17"/>
    <s v="Traffic Signals (Stop &amp; Go)"/>
    <s v="Unknown"/>
    <n v="4"/>
    <s v="Penobscot"/>
    <s v="2022-33620"/>
    <s v="BREWER POLICE DEPARTMENT"/>
    <s v="22-087015"/>
    <n v="44.794701119999999"/>
    <n v="-68.766163859999992"/>
    <n v="11"/>
    <s v="November"/>
    <s v="19050"/>
    <n v="3111001"/>
    <n v="4"/>
    <s v="4 - Eastern Region"/>
    <s v="2"/>
    <s v="Urban"/>
    <s v="NODE"/>
    <n v="319828"/>
    <n v="0"/>
  </r>
  <r>
    <x v="2"/>
    <s v="2022-12052"/>
    <d v="2022-04-28T00:00:00"/>
    <s v="Brewer"/>
    <s v="Thursday"/>
    <s v="15:15:00"/>
    <x v="3"/>
    <s v="None"/>
    <s v="Daylight"/>
    <s v="Rear End / Sideswipe"/>
    <s v="Four Leg Intersection"/>
    <s v="Wet"/>
    <s v="Rain"/>
    <s v="Yes"/>
    <s v="Followed Too Closely"/>
    <m/>
    <s v="No Contributing Action"/>
    <m/>
    <n v="39685"/>
    <s v="0001A"/>
    <s v="US 1A"/>
    <n v="39.08"/>
    <n v="1"/>
    <n v="23788.5"/>
    <m/>
    <s v="N"/>
    <s v="N"/>
    <s v="N"/>
    <s v="N"/>
    <s v="No"/>
    <s v="No"/>
    <n v="2"/>
    <n v="2"/>
    <n v="0"/>
    <n v="0"/>
    <n v="0"/>
    <n v="0"/>
    <n v="0"/>
    <n v="2"/>
    <s v="PD"/>
    <s v="BACTS"/>
    <n v="15"/>
    <s v="Traffic Signals (Stop &amp; Go)"/>
    <s v="Unknown"/>
    <n v="5"/>
    <s v="Penobscot"/>
    <s v="2022-12052"/>
    <s v="BREWER POLICE DEPARTMENT"/>
    <s v="22-030225"/>
    <n v="44.794701119999999"/>
    <n v="-68.766163859999992"/>
    <n v="4"/>
    <s v="April"/>
    <s v="19050"/>
    <n v="3111001"/>
    <n v="4"/>
    <s v="4 - Eastern Region"/>
    <s v="2"/>
    <s v="Urban"/>
    <s v="NODE"/>
    <n v="330761"/>
    <n v="0"/>
  </r>
  <r>
    <x v="2"/>
    <s v="2022-10801"/>
    <d v="2022-04-13T00:00:00"/>
    <s v="Brewer"/>
    <s v="Wednesday"/>
    <s v="10:10:00"/>
    <x v="3"/>
    <s v="None"/>
    <s v="Daylight"/>
    <s v="Rear End / Sideswipe"/>
    <s v="Straight Road"/>
    <s v="Dry"/>
    <s v="Clear"/>
    <m/>
    <s v="Followed Too Closely"/>
    <s v="No Contributing Action"/>
    <s v="No Contributing Action"/>
    <m/>
    <m/>
    <s v="0001A"/>
    <s v="US 1A"/>
    <n v="39.89"/>
    <n v="1"/>
    <n v="9113"/>
    <n v="25"/>
    <s v="N"/>
    <s v="N"/>
    <s v="N"/>
    <s v="N"/>
    <s v="No"/>
    <s v="No"/>
    <n v="2"/>
    <n v="3"/>
    <n v="0"/>
    <n v="0"/>
    <n v="0"/>
    <n v="0"/>
    <n v="0"/>
    <n v="3"/>
    <s v="PD"/>
    <s v="BACTS"/>
    <n v="10"/>
    <s v="None"/>
    <s v="Posted"/>
    <n v="4"/>
    <s v="Penobscot"/>
    <s v="2022-10801"/>
    <s v="BREWER POLICE DEPARTMENT"/>
    <s v="22-026225"/>
    <n v="44.786284469999998"/>
    <n v="-68.754791650000001"/>
    <n v="4"/>
    <s v="April"/>
    <s v="19050"/>
    <n v="3129631"/>
    <n v="4"/>
    <s v="4 - Eastern Region"/>
    <s v="2"/>
    <s v="Urban"/>
    <s v="ELEMENT"/>
    <n v="332865"/>
    <n v="0.05"/>
  </r>
  <r>
    <x v="2"/>
    <s v="2022-26108"/>
    <d v="2022-09-09T00:00:00"/>
    <s v="Brewer"/>
    <s v="Friday"/>
    <s v="09:27:00"/>
    <x v="3"/>
    <s v="None"/>
    <s v="Daylight"/>
    <s v="Rear End / Sideswipe"/>
    <s v="Straight Road"/>
    <s v="Dry"/>
    <s v="Clear"/>
    <s v="Yes"/>
    <s v="Followed Too Closely"/>
    <m/>
    <s v="No Contributing Action"/>
    <m/>
    <m/>
    <s v="0001A"/>
    <s v="US 1A"/>
    <n v="39.89"/>
    <n v="1"/>
    <n v="9113"/>
    <n v="25"/>
    <s v="N"/>
    <s v="N"/>
    <m/>
    <s v="N"/>
    <s v="No"/>
    <s v="No"/>
    <n v="2"/>
    <n v="2"/>
    <n v="0"/>
    <n v="0"/>
    <n v="0"/>
    <n v="0"/>
    <n v="0"/>
    <n v="2"/>
    <s v="PD"/>
    <s v="BACTS"/>
    <n v="9"/>
    <s v="Stop Signs - Other"/>
    <s v="Posted"/>
    <n v="6"/>
    <s v="Penobscot"/>
    <s v="2022-26108"/>
    <s v="BREWER POLICE DEPARTMENT"/>
    <s v="22-067823"/>
    <n v="44.786270000000002"/>
    <n v="-68.754779999999997"/>
    <n v="9"/>
    <s v="September"/>
    <s v="19050"/>
    <n v="3129631"/>
    <n v="4"/>
    <s v="4 - Eastern Region"/>
    <s v="2"/>
    <s v="Urban"/>
    <s v="ELEMENT"/>
    <n v="333413"/>
    <n v="0.05"/>
  </r>
  <r>
    <x v="2"/>
    <s v="2022-26106"/>
    <d v="2022-09-07T00:00:00"/>
    <s v="Brewer"/>
    <s v="Wednesday"/>
    <s v="16:47:00"/>
    <x v="3"/>
    <s v="None"/>
    <s v="Daylight"/>
    <s v="Intersection Movement"/>
    <s v="Four Leg Intersection"/>
    <s v="Dry"/>
    <s v="Clear"/>
    <s v="Yes"/>
    <s v="Failed to Yield Right-of-Way"/>
    <m/>
    <s v="No Contributing Action"/>
    <m/>
    <n v="39685"/>
    <s v="0001A"/>
    <s v="US 1A"/>
    <n v="39.08"/>
    <n v="1"/>
    <n v="23788.5"/>
    <m/>
    <s v="N"/>
    <s v="N"/>
    <m/>
    <s v="N"/>
    <s v="No"/>
    <s v="No"/>
    <n v="2"/>
    <n v="2"/>
    <n v="0"/>
    <n v="0"/>
    <n v="0"/>
    <n v="0"/>
    <n v="0"/>
    <n v="2"/>
    <s v="PD"/>
    <s v="BACTS"/>
    <n v="16"/>
    <s v="Traffic Signals (Stop &amp; Go)"/>
    <s v="Unknown"/>
    <n v="4"/>
    <s v="Penobscot"/>
    <s v="2022-26106"/>
    <s v="BREWER POLICE DEPARTMENT"/>
    <s v="22-067352"/>
    <n v="44.794701119999999"/>
    <n v="-68.766163859999992"/>
    <n v="9"/>
    <s v="September"/>
    <s v="19050"/>
    <n v="3111001"/>
    <n v="4"/>
    <s v="4 - Eastern Region"/>
    <s v="2"/>
    <s v="Urban"/>
    <s v="NODE"/>
    <n v="333509"/>
    <n v="0"/>
  </r>
  <r>
    <x v="2"/>
    <s v="2022-13164"/>
    <d v="2022-05-08T00:00:00"/>
    <s v="Brewer"/>
    <s v="Sunday"/>
    <s v="08:30:00"/>
    <x v="3"/>
    <s v="None"/>
    <s v="Daylight"/>
    <s v="Intersection Movement"/>
    <s v="Four Leg Intersection"/>
    <s v="Dry"/>
    <s v="Clear"/>
    <s v="Yes"/>
    <s v="Ran Red Light"/>
    <s v="Failed to Keep in Proper Lane"/>
    <s v="No Contributing Action"/>
    <m/>
    <n v="39685"/>
    <s v="0001A"/>
    <s v="US 1A"/>
    <n v="39.08"/>
    <n v="1"/>
    <n v="23788.5"/>
    <m/>
    <s v="N"/>
    <s v="N"/>
    <s v="N"/>
    <s v="N"/>
    <s v="No"/>
    <s v="No"/>
    <n v="2"/>
    <n v="2"/>
    <n v="0"/>
    <n v="0"/>
    <n v="0"/>
    <n v="0"/>
    <n v="0"/>
    <n v="2"/>
    <s v="PD"/>
    <s v="BACTS"/>
    <n v="8"/>
    <s v="Traffic Signals (Stop &amp; Go)"/>
    <s v="Unknown"/>
    <n v="1"/>
    <s v="Penobscot"/>
    <s v="2022-13164"/>
    <s v="BREWER POLICE DEPARTMENT"/>
    <s v="22-032868"/>
    <n v="44.794701119999999"/>
    <n v="-68.766163859999992"/>
    <n v="5"/>
    <s v="May"/>
    <s v="19050"/>
    <n v="3111001"/>
    <n v="4"/>
    <s v="4 - Eastern Region"/>
    <s v="2"/>
    <s v="Urban"/>
    <s v="NODE"/>
    <n v="333908"/>
    <n v="0"/>
  </r>
  <r>
    <x v="2"/>
    <s v="2018-10884"/>
    <d v="2018-04-09T00:00:00"/>
    <s v="Brewer"/>
    <s v="Monday"/>
    <s v="16:50:00"/>
    <x v="2"/>
    <s v="None"/>
    <s v="Daylight"/>
    <s v="Went Off Road"/>
    <s v="Parking Lot"/>
    <s v="Dry"/>
    <s v="Clear"/>
    <s v="Yes"/>
    <s v="Ran Off Roadway"/>
    <s v="Failed to Keep in Proper Lane"/>
    <s v="No Contributing Action"/>
    <m/>
    <m/>
    <s v="0001A"/>
    <s v="US 1A"/>
    <n v="39.090000000000003"/>
    <n v="1"/>
    <n v="8494"/>
    <n v="25"/>
    <s v="N"/>
    <s v="N"/>
    <s v="N"/>
    <s v="N"/>
    <s v="No"/>
    <s v="No"/>
    <n v="2"/>
    <n v="3"/>
    <n v="1"/>
    <n v="0"/>
    <n v="0"/>
    <n v="0"/>
    <n v="1"/>
    <n v="2"/>
    <s v="C"/>
    <s v="BACTS"/>
    <n v="16"/>
    <s v="Traffic Signals (Stop &amp; Go)"/>
    <s v="Posted"/>
    <n v="2"/>
    <s v="Penobscot"/>
    <s v="2018-10884"/>
    <s v="BREWER POLICE DEPARTMENT"/>
    <s v="18-025904"/>
    <n v="44.794599910000002"/>
    <n v="-68.765946400000004"/>
    <n v="4"/>
    <s v="April"/>
    <s v="19050"/>
    <n v="3119550"/>
    <n v="4"/>
    <s v="4 - Eastern Region"/>
    <s v="2"/>
    <s v="Urban"/>
    <s v="ELEMENT"/>
    <n v="335631"/>
    <n v="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B82C46F-59C6-40F4-A18D-C88D9537CA31}"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O2:T13" firstHeaderRow="0" firstDataRow="1" firstDataCol="1"/>
  <pivotFields count="62">
    <pivotField axis="axisRow" showAll="0" insertBlankRow="1" defaultSubtotal="0">
      <items count="3">
        <item h="1" x="0"/>
        <item h="1" x="1"/>
        <item x="2"/>
      </items>
    </pivotField>
    <pivotField showAll="0" insertBlankRow="1"/>
    <pivotField numFmtId="172" showAll="0" insertBlankRow="1"/>
    <pivotField showAll="0" insertBlankRow="1"/>
    <pivotField showAll="0" insertBlankRow="1"/>
    <pivotField showAll="0" insertBlankRow="1"/>
    <pivotField axis="axisRow" showAll="0" insertBlankRow="1">
      <items count="12">
        <item h="1" m="1" x="10"/>
        <item h="1" m="1" x="9"/>
        <item x="2"/>
        <item x="6"/>
        <item x="5"/>
        <item x="7"/>
        <item x="3"/>
        <item x="0"/>
        <item x="4"/>
        <item x="8"/>
        <item h="1" x="1"/>
        <item t="default"/>
      </items>
    </pivotField>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dataField="1" showAll="0" insertBlankRow="1"/>
    <pivotField dataField="1" showAll="0" insertBlankRow="1"/>
    <pivotField dataField="1" showAll="0" insertBlankRow="1"/>
    <pivotField dataField="1" showAll="0" insertBlankRow="1"/>
    <pivotField dataField="1"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s>
  <rowFields count="2">
    <field x="0"/>
    <field x="6"/>
  </rowFields>
  <rowItems count="11">
    <i>
      <x v="2"/>
    </i>
    <i r="1">
      <x v="2"/>
    </i>
    <i r="1">
      <x v="3"/>
    </i>
    <i r="1">
      <x v="4"/>
    </i>
    <i r="1">
      <x v="5"/>
    </i>
    <i r="1">
      <x v="6"/>
    </i>
    <i r="1">
      <x v="7"/>
    </i>
    <i r="1">
      <x v="8"/>
    </i>
    <i r="1">
      <x v="9"/>
    </i>
    <i t="blank">
      <x v="2"/>
    </i>
    <i t="grand">
      <x/>
    </i>
  </rowItems>
  <colFields count="1">
    <field x="-2"/>
  </colFields>
  <colItems count="5">
    <i>
      <x/>
    </i>
    <i i="1">
      <x v="1"/>
    </i>
    <i i="2">
      <x v="2"/>
    </i>
    <i i="3">
      <x v="3"/>
    </i>
    <i i="4">
      <x v="4"/>
    </i>
  </colItems>
  <dataFields count="5">
    <dataField name=" K - Fatalities Count" fld="34" baseField="6" baseItem="2"/>
    <dataField name=" A - Suspected Serious Injury Count" fld="35" baseField="6" baseItem="2"/>
    <dataField name=" B - Suspected Minor Injuries Count" fld="36" baseField="6" baseItem="2"/>
    <dataField name=" C - Possible Injuries Count" fld="37" baseField="6" baseItem="2"/>
    <dataField name=" O/PD/PDO - No Apparent Injury Count" fld="38" baseField="6" baseItem="2"/>
  </dataFields>
  <formats count="13">
    <format dxfId="38">
      <pivotArea collapsedLevelsAreSubtotals="1" fieldPosition="0">
        <references count="2">
          <reference field="0" count="1" selected="0">
            <x v="0"/>
          </reference>
          <reference field="6" count="0"/>
        </references>
      </pivotArea>
    </format>
    <format dxfId="37">
      <pivotArea collapsedLevelsAreSubtotals="1" fieldPosition="0">
        <references count="1">
          <reference field="0" count="1">
            <x v="1"/>
          </reference>
        </references>
      </pivotArea>
    </format>
    <format dxfId="36">
      <pivotArea collapsedLevelsAreSubtotals="1" fieldPosition="0">
        <references count="2">
          <reference field="0" count="1" selected="0">
            <x v="1"/>
          </reference>
          <reference field="6" count="7">
            <x v="0"/>
            <x v="2"/>
            <x v="3"/>
            <x v="5"/>
            <x v="6"/>
            <x v="7"/>
            <x v="8"/>
          </reference>
        </references>
      </pivotArea>
    </format>
    <format dxfId="35">
      <pivotArea collapsedLevelsAreSubtotals="1" fieldPosition="0">
        <references count="1">
          <reference field="0" count="1">
            <x v="2"/>
          </reference>
        </references>
      </pivotArea>
    </format>
    <format dxfId="34">
      <pivotArea collapsedLevelsAreSubtotals="1" fieldPosition="0">
        <references count="2">
          <reference field="0" count="1" selected="0">
            <x v="2"/>
          </reference>
          <reference field="6" count="0"/>
        </references>
      </pivotArea>
    </format>
    <format dxfId="33">
      <pivotArea grandRow="1" outline="0" collapsedLevelsAreSubtotals="1" fieldPosition="0"/>
    </format>
    <format dxfId="32">
      <pivotArea type="all" dataOnly="0" outline="0" fieldPosition="0"/>
    </format>
    <format dxfId="31">
      <pivotArea outline="0" collapsedLevelsAreSubtotals="1" fieldPosition="0"/>
    </format>
    <format dxfId="30">
      <pivotArea field="0" type="button" dataOnly="0" labelOnly="1" outline="0" axis="axisRow" fieldPosition="0"/>
    </format>
    <format dxfId="29">
      <pivotArea dataOnly="0" labelOnly="1" fieldPosition="0">
        <references count="1">
          <reference field="0" count="0"/>
        </references>
      </pivotArea>
    </format>
    <format dxfId="28">
      <pivotArea dataOnly="0" labelOnly="1" grandRow="1" outline="0" fieldPosition="0"/>
    </format>
    <format dxfId="27">
      <pivotArea dataOnly="0" labelOnly="1" fieldPosition="0">
        <references count="2">
          <reference field="0" count="0" selected="0"/>
          <reference field="6" count="0"/>
        </references>
      </pivotArea>
    </format>
    <format dxfId="26">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B3E1F2B-31FA-4BD8-A03D-87DA2E80D3F8}"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2:M11" firstHeaderRow="0" firstDataRow="1" firstDataCol="1"/>
  <pivotFields count="62">
    <pivotField axis="axisRow" showAll="0" insertBlankRow="1" defaultSubtotal="0">
      <items count="3">
        <item h="1" x="0"/>
        <item x="1"/>
        <item h="1" x="2"/>
      </items>
    </pivotField>
    <pivotField showAll="0" insertBlankRow="1"/>
    <pivotField numFmtId="172" showAll="0" insertBlankRow="1"/>
    <pivotField showAll="0" insertBlankRow="1"/>
    <pivotField showAll="0" insertBlankRow="1"/>
    <pivotField showAll="0" insertBlankRow="1"/>
    <pivotField axis="axisRow" showAll="0" insertBlankRow="1">
      <items count="12">
        <item h="1" m="1" x="10"/>
        <item h="1" m="1" x="9"/>
        <item x="2"/>
        <item x="6"/>
        <item x="5"/>
        <item x="7"/>
        <item x="3"/>
        <item x="0"/>
        <item x="4"/>
        <item x="8"/>
        <item h="1" x="1"/>
        <item t="default"/>
      </items>
    </pivotField>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dataField="1" showAll="0" insertBlankRow="1"/>
    <pivotField dataField="1" showAll="0" insertBlankRow="1"/>
    <pivotField dataField="1" showAll="0" insertBlankRow="1"/>
    <pivotField dataField="1" showAll="0" insertBlankRow="1"/>
    <pivotField dataField="1"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s>
  <rowFields count="2">
    <field x="0"/>
    <field x="6"/>
  </rowFields>
  <rowItems count="9">
    <i>
      <x v="1"/>
    </i>
    <i r="1">
      <x v="2"/>
    </i>
    <i r="1">
      <x v="3"/>
    </i>
    <i r="1">
      <x v="5"/>
    </i>
    <i r="1">
      <x v="6"/>
    </i>
    <i r="1">
      <x v="7"/>
    </i>
    <i r="1">
      <x v="8"/>
    </i>
    <i t="blank">
      <x v="1"/>
    </i>
    <i t="grand">
      <x/>
    </i>
  </rowItems>
  <colFields count="1">
    <field x="-2"/>
  </colFields>
  <colItems count="5">
    <i>
      <x/>
    </i>
    <i i="1">
      <x v="1"/>
    </i>
    <i i="2">
      <x v="2"/>
    </i>
    <i i="3">
      <x v="3"/>
    </i>
    <i i="4">
      <x v="4"/>
    </i>
  </colItems>
  <dataFields count="5">
    <dataField name=" K - Fatalities Count" fld="34" baseField="6" baseItem="2"/>
    <dataField name=" A - Suspected Serious Injury Count" fld="35" baseField="6" baseItem="2"/>
    <dataField name=" B - Suspected Minor Injuries Count" fld="36" baseField="6" baseItem="2"/>
    <dataField name=" C - Possible Injuries Count" fld="37" baseField="6" baseItem="2"/>
    <dataField name=" O/PD/PDO - No Apparent Injury Count" fld="38" baseField="6" baseItem="2"/>
  </dataFields>
  <formats count="13">
    <format dxfId="51">
      <pivotArea collapsedLevelsAreSubtotals="1" fieldPosition="0">
        <references count="2">
          <reference field="0" count="1" selected="0">
            <x v="0"/>
          </reference>
          <reference field="6" count="0"/>
        </references>
      </pivotArea>
    </format>
    <format dxfId="50">
      <pivotArea collapsedLevelsAreSubtotals="1" fieldPosition="0">
        <references count="1">
          <reference field="0" count="1">
            <x v="1"/>
          </reference>
        </references>
      </pivotArea>
    </format>
    <format dxfId="49">
      <pivotArea collapsedLevelsAreSubtotals="1" fieldPosition="0">
        <references count="2">
          <reference field="0" count="1" selected="0">
            <x v="1"/>
          </reference>
          <reference field="6" count="7">
            <x v="0"/>
            <x v="2"/>
            <x v="3"/>
            <x v="5"/>
            <x v="6"/>
            <x v="7"/>
            <x v="8"/>
          </reference>
        </references>
      </pivotArea>
    </format>
    <format dxfId="48">
      <pivotArea collapsedLevelsAreSubtotals="1" fieldPosition="0">
        <references count="1">
          <reference field="0" count="1">
            <x v="2"/>
          </reference>
        </references>
      </pivotArea>
    </format>
    <format dxfId="47">
      <pivotArea collapsedLevelsAreSubtotals="1" fieldPosition="0">
        <references count="2">
          <reference field="0" count="1" selected="0">
            <x v="2"/>
          </reference>
          <reference field="6" count="0"/>
        </references>
      </pivotArea>
    </format>
    <format dxfId="46">
      <pivotArea grandRow="1" outline="0" collapsedLevelsAreSubtotals="1" fieldPosition="0"/>
    </format>
    <format dxfId="45">
      <pivotArea type="all" dataOnly="0" outline="0" fieldPosition="0"/>
    </format>
    <format dxfId="44">
      <pivotArea outline="0" collapsedLevelsAreSubtotals="1" fieldPosition="0"/>
    </format>
    <format dxfId="43">
      <pivotArea field="0" type="button" dataOnly="0" labelOnly="1" outline="0" axis="axisRow" fieldPosition="0"/>
    </format>
    <format dxfId="42">
      <pivotArea dataOnly="0" labelOnly="1" fieldPosition="0">
        <references count="1">
          <reference field="0" count="0"/>
        </references>
      </pivotArea>
    </format>
    <format dxfId="41">
      <pivotArea dataOnly="0" labelOnly="1" grandRow="1" outline="0" fieldPosition="0"/>
    </format>
    <format dxfId="40">
      <pivotArea dataOnly="0" labelOnly="1" fieldPosition="0">
        <references count="2">
          <reference field="0" count="0" selected="0"/>
          <reference field="6" count="0"/>
        </references>
      </pivotArea>
    </format>
    <format dxfId="39">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765E13A-5ACA-4F7D-8C44-22FF80E4828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F13" firstHeaderRow="0" firstDataRow="1" firstDataCol="1"/>
  <pivotFields count="62">
    <pivotField axis="axisRow" showAll="0" insertBlankRow="1" defaultSubtotal="0">
      <items count="3">
        <item x="0"/>
        <item h="1" x="1"/>
        <item h="1" x="2"/>
      </items>
    </pivotField>
    <pivotField showAll="0" insertBlankRow="1"/>
    <pivotField numFmtId="172" showAll="0" insertBlankRow="1"/>
    <pivotField showAll="0" insertBlankRow="1"/>
    <pivotField showAll="0" insertBlankRow="1"/>
    <pivotField showAll="0" insertBlankRow="1"/>
    <pivotField axis="axisRow" showAll="0" insertBlankRow="1">
      <items count="12">
        <item h="1" m="1" x="10"/>
        <item h="1" m="1" x="9"/>
        <item x="2"/>
        <item x="6"/>
        <item x="5"/>
        <item x="7"/>
        <item x="3"/>
        <item x="0"/>
        <item x="4"/>
        <item x="8"/>
        <item h="1" x="1"/>
        <item t="default"/>
      </items>
    </pivotField>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dataField="1" showAll="0" insertBlankRow="1"/>
    <pivotField dataField="1" showAll="0" insertBlankRow="1"/>
    <pivotField dataField="1" showAll="0" insertBlankRow="1"/>
    <pivotField dataField="1" showAll="0" insertBlankRow="1"/>
    <pivotField dataField="1"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 showAll="0" insertBlankRow="1"/>
  </pivotFields>
  <rowFields count="2">
    <field x="0"/>
    <field x="6"/>
  </rowFields>
  <rowItems count="11">
    <i>
      <x/>
    </i>
    <i r="1">
      <x v="2"/>
    </i>
    <i r="1">
      <x v="3"/>
    </i>
    <i r="1">
      <x v="4"/>
    </i>
    <i r="1">
      <x v="5"/>
    </i>
    <i r="1">
      <x v="6"/>
    </i>
    <i r="1">
      <x v="7"/>
    </i>
    <i r="1">
      <x v="8"/>
    </i>
    <i r="1">
      <x v="9"/>
    </i>
    <i t="blank">
      <x/>
    </i>
    <i t="grand">
      <x/>
    </i>
  </rowItems>
  <colFields count="1">
    <field x="-2"/>
  </colFields>
  <colItems count="5">
    <i>
      <x/>
    </i>
    <i i="1">
      <x v="1"/>
    </i>
    <i i="2">
      <x v="2"/>
    </i>
    <i i="3">
      <x v="3"/>
    </i>
    <i i="4">
      <x v="4"/>
    </i>
  </colItems>
  <dataFields count="5">
    <dataField name=" K - Fatalities Count" fld="34" baseField="6" baseItem="2"/>
    <dataField name=" A - Suspected Serious Injury Count" fld="35" baseField="6" baseItem="2"/>
    <dataField name=" B - Suspected Minor Injuries Count" fld="36" baseField="6" baseItem="2"/>
    <dataField name=" C - Possible Injuries Count" fld="37" baseField="6" baseItem="2"/>
    <dataField name=" O/PD/PDO - No Apparent Injury Count" fld="38" baseField="6" baseItem="2"/>
  </dataFields>
  <formats count="13">
    <format dxfId="64">
      <pivotArea collapsedLevelsAreSubtotals="1" fieldPosition="0">
        <references count="2">
          <reference field="0" count="1" selected="0">
            <x v="0"/>
          </reference>
          <reference field="6" count="0"/>
        </references>
      </pivotArea>
    </format>
    <format dxfId="63">
      <pivotArea collapsedLevelsAreSubtotals="1" fieldPosition="0">
        <references count="1">
          <reference field="0" count="1">
            <x v="1"/>
          </reference>
        </references>
      </pivotArea>
    </format>
    <format dxfId="62">
      <pivotArea collapsedLevelsAreSubtotals="1" fieldPosition="0">
        <references count="2">
          <reference field="0" count="1" selected="0">
            <x v="1"/>
          </reference>
          <reference field="6" count="7">
            <x v="0"/>
            <x v="2"/>
            <x v="3"/>
            <x v="5"/>
            <x v="6"/>
            <x v="7"/>
            <x v="8"/>
          </reference>
        </references>
      </pivotArea>
    </format>
    <format dxfId="61">
      <pivotArea collapsedLevelsAreSubtotals="1" fieldPosition="0">
        <references count="1">
          <reference field="0" count="1">
            <x v="2"/>
          </reference>
        </references>
      </pivotArea>
    </format>
    <format dxfId="60">
      <pivotArea collapsedLevelsAreSubtotals="1" fieldPosition="0">
        <references count="2">
          <reference field="0" count="1" selected="0">
            <x v="2"/>
          </reference>
          <reference field="6" count="0"/>
        </references>
      </pivotArea>
    </format>
    <format dxfId="59">
      <pivotArea grandRow="1" outline="0" collapsedLevelsAreSubtotals="1" fieldPosition="0"/>
    </format>
    <format dxfId="58">
      <pivotArea type="all" dataOnly="0" outline="0" fieldPosition="0"/>
    </format>
    <format dxfId="57">
      <pivotArea outline="0" collapsedLevelsAreSubtotals="1" fieldPosition="0"/>
    </format>
    <format dxfId="56">
      <pivotArea field="0" type="button" dataOnly="0" labelOnly="1" outline="0" axis="axisRow" fieldPosition="0"/>
    </format>
    <format dxfId="55">
      <pivotArea dataOnly="0" labelOnly="1" fieldPosition="0">
        <references count="1">
          <reference field="0" count="0"/>
        </references>
      </pivotArea>
    </format>
    <format dxfId="54">
      <pivotArea dataOnly="0" labelOnly="1" grandRow="1" outline="0" fieldPosition="0"/>
    </format>
    <format dxfId="53">
      <pivotArea dataOnly="0" labelOnly="1" fieldPosition="0">
        <references count="2">
          <reference field="0" count="0" selected="0"/>
          <reference field="6" count="0"/>
        </references>
      </pivotArea>
    </format>
    <format dxfId="52">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A9A20B-089F-4813-8DE7-342C682C4319}" name="CrashData" displayName="CrashData" ref="A1:BJ299" totalsRowShown="0" headerRowBorderDxfId="25" headerRowCellStyle="STYLE0">
  <autoFilter ref="A1:BJ299" xr:uid="{B8A9A20B-089F-4813-8DE7-342C682C4319}"/>
  <tableColumns count="62">
    <tableColumn id="1" xr3:uid="{27B4F8D2-C677-40D6-98B7-0D2A152798A5}" name="Focus Area"/>
    <tableColumn id="2" xr3:uid="{D8D5AAC6-7ED3-4C55-B719-5CDD624CAEB8}" name="MDOT ID"/>
    <tableColumn id="3" xr3:uid="{237EC96C-9367-4455-8F44-30DB421AA671}" name="Crash Date" dataDxfId="24"/>
    <tableColumn id="4" xr3:uid="{9A9480B3-F7A0-438D-A741-80CDAA138825}" name="Town Name"/>
    <tableColumn id="5" xr3:uid="{D954D66F-7452-42BE-AEC0-AFC9F7E111BF}" name="Day of Week"/>
    <tableColumn id="6" xr3:uid="{909E175E-2195-4DAB-B77C-78B89F1828C8}" name="Time of Crash"/>
    <tableColumn id="7" xr3:uid="{3AFAB121-C8B8-4183-B090-D8BA66CC0F5E}" name="Year"/>
    <tableColumn id="8" xr3:uid="{7D15650C-3945-47D9-9C02-29AB48A60FC6}" name="Contributing Circumstance Road 1"/>
    <tableColumn id="9" xr3:uid="{60A7E9B4-9F2A-4E9A-A066-3A8833323E78}" name="Light Condition"/>
    <tableColumn id="10" xr3:uid="{8FB91118-4798-4BBA-BCD0-D6A34CDC751C}" name="Type of Crash"/>
    <tableColumn id="11" xr3:uid="{92720B99-57DF-4BFE-A1B8-BD40EA0991A9}" name="Type of Location"/>
    <tableColumn id="12" xr3:uid="{B50A4345-72A1-463E-B87F-C065CC5E5B65}" name="Road Surface Condition"/>
    <tableColumn id="13" xr3:uid="{3F15A757-746F-494D-90A7-1E5EF419E616}" name="Weather Condition"/>
    <tableColumn id="14" xr3:uid="{BCE9217A-9440-4D3E-9127-FF8902C06EDD}" name="Traffic Control Device Description"/>
    <tableColumn id="15" xr3:uid="{8EA3361A-978E-4CD4-884D-E423546580BB}" name="Driver Action 1 Unit 1 Description"/>
    <tableColumn id="16" xr3:uid="{64E23E7F-70BF-49A0-BC23-78C161058414}" name="Driver Action 2 Unit 1 Description"/>
    <tableColumn id="17" xr3:uid="{76B9475F-188F-4A2E-AE73-7CD9B232124D}" name="Driver Action 1 Unit 2 Description"/>
    <tableColumn id="18" xr3:uid="{BB069809-AC38-477D-A4A5-348B96A506F2}" name="Driver Action 2 Unit 2 Description"/>
    <tableColumn id="19" xr3:uid="{248746F1-44B1-4C6C-9008-5DE87815C2DF}" name="Node"/>
    <tableColumn id="20" xr3:uid="{E9ACFFB6-51D5-41ED-9865-3630BDEB54A6}" name="Primary Route Number"/>
    <tableColumn id="21" xr3:uid="{A95B3791-9F85-4098-9192-E2E2C9E74C0C}" name="Primary Route Name"/>
    <tableColumn id="22" xr3:uid="{8F3EB9E3-2A00-49CA-8483-EE9BBE476219}" name="Primary Route Mile Point"/>
    <tableColumn id="23" xr3:uid="{739EA28A-2958-4FE8-A996-7C41C3B48E5D}" name="Corridor Priority"/>
    <tableColumn id="24" xr3:uid="{0564A35E-86A9-40C2-8E25-706068FA0AD5}" name="Factored AADT"/>
    <tableColumn id="25" xr3:uid="{A1145328-0DC9-4CEF-AA7B-9A8853C8349F}" name="Speed Limit"/>
    <tableColumn id="26" xr3:uid="{EB78618C-52E7-459C-8E1B-6626CBD5DD45}" name="Bicycle Yes/No"/>
    <tableColumn id="27" xr3:uid="{D931773A-54AD-4EA8-91E1-66529062BF55}" name="Pedestrian Yes/No"/>
    <tableColumn id="28" xr3:uid="{7808A3DB-CED6-4DE7-A2A4-6A1ECBE53618}" name="FARS Yes/No"/>
    <tableColumn id="29" xr3:uid="{FCAFDC51-6482-4302-94BD-C8A7AB2B0B65}" name="Motorcycle Yes/No"/>
    <tableColumn id="30" xr3:uid="{F50D2A88-ECD1-4439-BFA1-45FEA33574A4}" name="School Bus Related"/>
    <tableColumn id="31" xr3:uid="{88AE22A9-CDE4-4011-A2D0-7E6B747E7AAA}" name="In or Near Work Zone"/>
    <tableColumn id="32" xr3:uid="{25B13E3A-9571-45FD-864A-AFE9C499D25F}" name="Unit Count"/>
    <tableColumn id="33" xr3:uid="{D94CF314-CB25-42E7-ADC2-1F5056D536E6}" name="Person Count"/>
    <tableColumn id="34" xr3:uid="{F16EF97A-41C3-4CA8-A3CD-D65CE8F0EADB}" name="Number of Injuries"/>
    <tableColumn id="35" xr3:uid="{99863811-08D5-4043-8BEE-F6A25DA0D0BB}" name="K - Fatalities Count"/>
    <tableColumn id="36" xr3:uid="{F6FC9722-5F86-4D3A-93D5-34E7BF6A9214}" name="A - Suspected Serious Injury Count"/>
    <tableColumn id="37" xr3:uid="{9F6CF3B1-18E7-415D-9089-F9D4E2856252}" name="B - Suspected Minor Injuries Count"/>
    <tableColumn id="38" xr3:uid="{3D37C2B8-1EE3-407F-807C-C4777FCBE667}" name="C - Possible Injuries Count"/>
    <tableColumn id="39" xr3:uid="{D31B1150-8922-4912-A271-2A6DE0967B18}" name="O/PD/PDO - No Apparent Injury Count"/>
    <tableColumn id="40" xr3:uid="{669CD6AD-6DAA-4870-A3A7-3DBA1B5BC63A}" name="Injury Level"/>
    <tableColumn id="41" xr3:uid="{26310670-2EBA-40C7-ABD6-EDC532FA5F11}" name="Federal Urban Group Description"/>
    <tableColumn id="42" xr3:uid="{4ED6D852-1AF5-4271-AE74-9F86EEC52515}" name="Accident Hour"/>
    <tableColumn id="43" xr3:uid="{8BA51B5C-2985-4594-90E4-181CD60C95A2}" name="Traffic Control Device"/>
    <tableColumn id="44" xr3:uid="{BF295797-3EFC-4B5B-974F-F60D2071D108}" name="Speed Limit Source"/>
    <tableColumn id="45" xr3:uid="{11291751-466C-445F-BAA3-B20CFB4DC3A2}" name="Day of Week Code"/>
    <tableColumn id="46" xr3:uid="{EBF77812-4C05-4992-B25D-17B535032011}" name="County Name"/>
    <tableColumn id="47" xr3:uid="{814E17EA-93AB-4B08-8A69-A2B5C965F50C}" name="Crash ID"/>
    <tableColumn id="48" xr3:uid="{AC7D191C-2E21-40A8-9874-99B43320FE11}" name="Reporting Agency Name"/>
    <tableColumn id="49" xr3:uid="{03557BE1-2984-428D-8D6A-98B130076E61}" name="Report Number"/>
    <tableColumn id="50" xr3:uid="{A8EE72BD-2B98-417C-8DC6-5C56F89067B1}" name="Latitude"/>
    <tableColumn id="51" xr3:uid="{41378B88-7034-4D3A-8109-6B6B7106C25D}" name="Longitude"/>
    <tableColumn id="52" xr3:uid="{35C0C157-127D-473B-B864-DAC03E86CFD8}" name="Accident Month Number"/>
    <tableColumn id="53" xr3:uid="{D4D4551E-94B7-4010-A97E-C2D4F8E10497}" name="Accident Month Name"/>
    <tableColumn id="54" xr3:uid="{EBC9A3E3-332F-4F39-8837-F3B67C295425}" name="Towncode"/>
    <tableColumn id="55" xr3:uid="{DADA1508-25D4-401B-AF26-42AFA37353FB}" name="Element ID"/>
    <tableColumn id="56" xr3:uid="{AEF122E6-7D5B-474C-B625-1EE1151D8C80}" name="MDOT Region Code"/>
    <tableColumn id="57" xr3:uid="{D10BC435-E0F5-4B30-8388-F13042BC7317}" name="MDOT Region Name"/>
    <tableColumn id="58" xr3:uid="{425CE898-B996-464A-A91A-8274A30E26CD}" name="State Urban Rural"/>
    <tableColumn id="59" xr3:uid="{FBD99E95-004C-4040-BDB9-8CF5B3847C53}" name="State Urban Rural Desc"/>
    <tableColumn id="60" xr3:uid="{643D398B-FC8E-4307-AD6B-4376C474AABD}" name="Element/Node"/>
    <tableColumn id="61" xr3:uid="{5ACF2B0C-A841-4045-8F7B-AC8436E6B4CD}" name="objectid"/>
    <tableColumn id="62" xr3:uid="{9D8CE798-8B23-4E77-BE2A-8CD64A50AAE9}" name="Offset"/>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aine.gov/dafs/economist/demographic-projection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ransportation.gov/mission/office-secretary/office-policy/transportation-policy/benefit-cost-analysis-guidance"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7D2A8-0D1D-45CA-80EB-C8363DA63B93}">
  <sheetPr>
    <tabColor theme="0" tint="-0.249977111117893"/>
  </sheetPr>
  <dimension ref="A1:B23"/>
  <sheetViews>
    <sheetView tabSelected="1" workbookViewId="0"/>
  </sheetViews>
  <sheetFormatPr defaultColWidth="9.1796875" defaultRowHeight="14.5" x14ac:dyDescent="0.35"/>
  <cols>
    <col min="1" max="1" width="72.81640625" style="5" customWidth="1"/>
    <col min="2" max="2" width="11.26953125" style="5" bestFit="1" customWidth="1"/>
    <col min="3" max="16384" width="9.1796875" style="5"/>
  </cols>
  <sheetData>
    <row r="1" spans="1:2" ht="20" thickBot="1" x14ac:dyDescent="0.5">
      <c r="A1" s="45" t="s">
        <v>301</v>
      </c>
    </row>
    <row r="2" spans="1:2" ht="15" thickTop="1" x14ac:dyDescent="0.35">
      <c r="A2" s="46" t="s">
        <v>198</v>
      </c>
    </row>
    <row r="3" spans="1:2" ht="17.5" thickBot="1" x14ac:dyDescent="0.45">
      <c r="A3" s="48" t="s">
        <v>302</v>
      </c>
    </row>
    <row r="4" spans="1:2" ht="76" customHeight="1" thickTop="1" x14ac:dyDescent="0.35">
      <c r="A4" s="50" t="s">
        <v>303</v>
      </c>
    </row>
    <row r="5" spans="1:2" x14ac:dyDescent="0.35">
      <c r="A5" s="46" t="s">
        <v>199</v>
      </c>
    </row>
    <row r="6" spans="1:2" ht="17.5" thickBot="1" x14ac:dyDescent="0.45">
      <c r="A6" s="47" t="s">
        <v>200</v>
      </c>
    </row>
    <row r="7" spans="1:2" ht="15" thickTop="1" x14ac:dyDescent="0.35">
      <c r="A7" s="52" t="s">
        <v>304</v>
      </c>
    </row>
    <row r="8" spans="1:2" x14ac:dyDescent="0.35">
      <c r="A8" s="52" t="s">
        <v>305</v>
      </c>
    </row>
    <row r="9" spans="1:2" ht="29" x14ac:dyDescent="0.35">
      <c r="A9" s="51" t="s">
        <v>306</v>
      </c>
    </row>
    <row r="10" spans="1:2" x14ac:dyDescent="0.35">
      <c r="A10" s="53" t="str">
        <f>HYPERLINK("https://www.transportation.gov/mission/office-secretary/office-policy/transportation-policy/benefit-cost-analysis-guidance", "See USDOT BCA Guidance for full details.")</f>
        <v>See USDOT BCA Guidance for full details.</v>
      </c>
    </row>
    <row r="11" spans="1:2" x14ac:dyDescent="0.35">
      <c r="A11" s="46" t="s">
        <v>198</v>
      </c>
      <c r="B11" s="390"/>
    </row>
    <row r="12" spans="1:2" ht="17.5" thickBot="1" x14ac:dyDescent="0.45">
      <c r="A12" s="47" t="s">
        <v>201</v>
      </c>
    </row>
    <row r="13" spans="1:2" ht="15" thickTop="1" x14ac:dyDescent="0.35">
      <c r="A13" s="54" t="s">
        <v>284</v>
      </c>
    </row>
    <row r="14" spans="1:2" ht="29" x14ac:dyDescent="0.35">
      <c r="A14" s="158" t="s">
        <v>307</v>
      </c>
    </row>
    <row r="15" spans="1:2" ht="29" x14ac:dyDescent="0.35">
      <c r="A15" s="159" t="s">
        <v>308</v>
      </c>
    </row>
    <row r="16" spans="1:2" ht="29" x14ac:dyDescent="0.35">
      <c r="A16" s="160" t="s">
        <v>309</v>
      </c>
    </row>
    <row r="17" spans="1:2" ht="43.5" x14ac:dyDescent="0.35">
      <c r="A17" s="49" t="s">
        <v>256</v>
      </c>
    </row>
    <row r="18" spans="1:2" x14ac:dyDescent="0.35">
      <c r="A18" s="49" t="s">
        <v>249</v>
      </c>
    </row>
    <row r="19" spans="1:2" ht="43.5" x14ac:dyDescent="0.35">
      <c r="A19" s="55" t="s">
        <v>285</v>
      </c>
    </row>
    <row r="22" spans="1:2" x14ac:dyDescent="0.35">
      <c r="A22" s="6" t="s">
        <v>158</v>
      </c>
      <c r="B22" s="165">
        <v>2024</v>
      </c>
    </row>
    <row r="23" spans="1:2" x14ac:dyDescent="0.35">
      <c r="A23" s="2" t="s">
        <v>310</v>
      </c>
      <c r="B23" s="166">
        <v>46014</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B0E9C-AFF5-4971-9D19-CB6ABF8587B9}">
  <sheetPr>
    <tabColor theme="4" tint="0.79998168889431442"/>
  </sheetPr>
  <dimension ref="A1:I7"/>
  <sheetViews>
    <sheetView showGridLines="0" workbookViewId="0"/>
  </sheetViews>
  <sheetFormatPr defaultRowHeight="14.5" x14ac:dyDescent="0.35"/>
  <cols>
    <col min="1" max="1" width="42.453125" customWidth="1"/>
    <col min="2" max="2" width="13.54296875" customWidth="1"/>
    <col min="3" max="5" width="8.453125" customWidth="1"/>
    <col min="6" max="6" width="18.7265625" bestFit="1" customWidth="1"/>
    <col min="7" max="7" width="3.6328125" customWidth="1"/>
  </cols>
  <sheetData>
    <row r="1" spans="1:9" x14ac:dyDescent="0.35">
      <c r="A1" s="345" t="s">
        <v>1602</v>
      </c>
    </row>
    <row r="2" spans="1:9" x14ac:dyDescent="0.35">
      <c r="A2" s="349" t="s">
        <v>1690</v>
      </c>
    </row>
    <row r="3" spans="1:9" x14ac:dyDescent="0.35">
      <c r="A3" s="349"/>
    </row>
    <row r="4" spans="1:9" s="211" customFormat="1" x14ac:dyDescent="0.35">
      <c r="A4" s="234" t="s">
        <v>1603</v>
      </c>
      <c r="B4" s="233" t="s">
        <v>1604</v>
      </c>
      <c r="C4" s="574" t="s">
        <v>1605</v>
      </c>
      <c r="D4" s="575"/>
      <c r="E4" s="576"/>
      <c r="F4" s="516" t="s">
        <v>1606</v>
      </c>
    </row>
    <row r="5" spans="1:9" s="211" customFormat="1" x14ac:dyDescent="0.35">
      <c r="A5" s="508"/>
      <c r="B5" s="509"/>
      <c r="C5" s="510">
        <v>2012</v>
      </c>
      <c r="D5" s="510">
        <v>2017</v>
      </c>
      <c r="E5" s="510">
        <v>2022</v>
      </c>
      <c r="F5" s="511">
        <v>2027</v>
      </c>
    </row>
    <row r="6" spans="1:9" x14ac:dyDescent="0.35">
      <c r="A6" s="512" t="s">
        <v>479</v>
      </c>
      <c r="B6" s="346" t="s">
        <v>497</v>
      </c>
      <c r="C6" s="513">
        <v>9543</v>
      </c>
      <c r="D6" s="514">
        <v>9636</v>
      </c>
      <c r="E6" s="513">
        <v>9670</v>
      </c>
      <c r="F6" s="515">
        <v>9702</v>
      </c>
      <c r="H6" s="517">
        <f>$F$6/$E$6-1</f>
        <v>3.3092037228541482E-3</v>
      </c>
      <c r="I6" s="348" t="s">
        <v>1692</v>
      </c>
    </row>
    <row r="7" spans="1:9" x14ac:dyDescent="0.35">
      <c r="D7" s="58"/>
      <c r="E7" s="58"/>
      <c r="F7" s="58"/>
    </row>
  </sheetData>
  <mergeCells count="1">
    <mergeCell ref="C4:E4"/>
  </mergeCells>
  <conditionalFormatting sqref="A6">
    <cfRule type="duplicateValues" dxfId="20" priority="5"/>
  </conditionalFormatting>
  <hyperlinks>
    <hyperlink ref="A1" r:id="rId1" xr:uid="{40577EE5-8798-44F1-A671-83A4DAB79AB3}"/>
  </hyperlinks>
  <printOptions gridLines="1"/>
  <pageMargins left="0.7" right="0.7" top="0.75" bottom="0.75" header="0.3" footer="0.3"/>
  <pageSetup scale="70"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29D9F-FC46-4D85-90F6-7D1B96D1D401}">
  <sheetPr>
    <tabColor theme="9" tint="0.39997558519241921"/>
  </sheetPr>
  <dimension ref="A1:AZ48"/>
  <sheetViews>
    <sheetView workbookViewId="0"/>
  </sheetViews>
  <sheetFormatPr defaultColWidth="9.1796875" defaultRowHeight="14.5" x14ac:dyDescent="0.35"/>
  <cols>
    <col min="1" max="1" width="28.81640625" style="5" customWidth="1"/>
    <col min="2" max="2" width="39.54296875" style="5" bestFit="1" customWidth="1"/>
    <col min="3" max="3" width="30.1796875" style="5" customWidth="1"/>
    <col min="4" max="5" width="9.1796875" style="5"/>
    <col min="6" max="6" width="18.453125" style="5" bestFit="1" customWidth="1"/>
    <col min="7" max="9" width="23.7265625" style="5" customWidth="1"/>
    <col min="10" max="10" width="11.26953125" style="5" bestFit="1" customWidth="1"/>
    <col min="11" max="11" width="12.36328125" style="5" bestFit="1" customWidth="1"/>
    <col min="12" max="16384" width="9.1796875" style="5"/>
  </cols>
  <sheetData>
    <row r="1" spans="1:52" ht="20" thickBot="1" x14ac:dyDescent="0.5">
      <c r="A1" s="94" t="s">
        <v>216</v>
      </c>
    </row>
    <row r="2" spans="1:52" ht="15" thickTop="1" x14ac:dyDescent="0.35">
      <c r="A2" s="145" t="s">
        <v>179</v>
      </c>
      <c r="B2" s="144"/>
      <c r="C2" s="144"/>
      <c r="D2" s="144"/>
      <c r="E2" s="144"/>
      <c r="F2" s="144"/>
      <c r="G2" s="144"/>
      <c r="H2" s="144"/>
      <c r="I2" s="144"/>
    </row>
    <row r="3" spans="1:52" x14ac:dyDescent="0.35">
      <c r="A3" s="38" t="s">
        <v>203</v>
      </c>
    </row>
    <row r="4" spans="1:52" x14ac:dyDescent="0.35">
      <c r="A4" s="116">
        <f>Inputs!E17</f>
        <v>0.03</v>
      </c>
      <c r="B4" s="5" t="s">
        <v>313</v>
      </c>
    </row>
    <row r="5" spans="1:52" x14ac:dyDescent="0.35">
      <c r="A5" s="117">
        <v>0</v>
      </c>
      <c r="B5" s="5" t="s">
        <v>343</v>
      </c>
    </row>
    <row r="6" spans="1:52" x14ac:dyDescent="0.35">
      <c r="A6" s="29" t="s">
        <v>203</v>
      </c>
    </row>
    <row r="7" spans="1:52" ht="15" thickBot="1" x14ac:dyDescent="0.4">
      <c r="A7" s="95" t="s">
        <v>248</v>
      </c>
    </row>
    <row r="8" spans="1:52" x14ac:dyDescent="0.35">
      <c r="A8" s="112" t="s">
        <v>4</v>
      </c>
      <c r="B8" s="110" t="s">
        <v>155</v>
      </c>
      <c r="C8" s="105" t="s">
        <v>349</v>
      </c>
      <c r="E8" s="10" t="s">
        <v>159</v>
      </c>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2"/>
    </row>
    <row r="9" spans="1:52" x14ac:dyDescent="0.35">
      <c r="A9" s="30">
        <f>'Project Information'!B7</f>
        <v>2030</v>
      </c>
      <c r="B9" s="290">
        <f>$K$15/3</f>
        <v>3868321.3333333335</v>
      </c>
      <c r="C9" s="8">
        <f>B9/(1+$A$4)^(A9-Overview!$B$22)</f>
        <v>3239658.2164601898</v>
      </c>
      <c r="E9" s="13"/>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s="14"/>
    </row>
    <row r="10" spans="1:52" x14ac:dyDescent="0.35">
      <c r="A10" s="1">
        <f>IF(A9&lt;$A$9+'Project Information'!$B$8-1,A9+1,"")</f>
        <v>2031</v>
      </c>
      <c r="B10" s="290">
        <f>$K$15/3</f>
        <v>3868321.3333333335</v>
      </c>
      <c r="C10" s="8">
        <f>IFERROR(B10/(1+$A$4)^(A10-Overview!$B$22),0)</f>
        <v>3145299.2392817372</v>
      </c>
      <c r="E10" s="13"/>
      <c r="F10" s="577" t="s">
        <v>369</v>
      </c>
      <c r="G10" s="577"/>
      <c r="H10" s="577"/>
      <c r="I10" s="577"/>
      <c r="J10" s="577"/>
      <c r="K10" s="578"/>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s="14"/>
    </row>
    <row r="11" spans="1:52" ht="65" x14ac:dyDescent="0.35">
      <c r="A11" s="1">
        <f>IF(A10&lt;$A$9+'Project Information'!$B$8-1,A10+1,"")</f>
        <v>2032</v>
      </c>
      <c r="B11" s="290">
        <f>$K$15/3</f>
        <v>3868321.3333333335</v>
      </c>
      <c r="C11" s="8">
        <f>IFERROR(B11/(1+$A$4)^(A11-Overview!$B$22),0)</f>
        <v>3053688.5818269299</v>
      </c>
      <c r="E11" s="13"/>
      <c r="F11" s="236" t="s">
        <v>370</v>
      </c>
      <c r="G11" s="237" t="s">
        <v>371</v>
      </c>
      <c r="H11" s="238" t="s">
        <v>1610</v>
      </c>
      <c r="I11" s="239" t="s">
        <v>373</v>
      </c>
      <c r="J11" s="240" t="s">
        <v>374</v>
      </c>
      <c r="K11" s="241" t="s">
        <v>375</v>
      </c>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s="14"/>
    </row>
    <row r="12" spans="1:52" x14ac:dyDescent="0.35">
      <c r="A12" s="1" t="str">
        <f>IF(A11&lt;$A$9+'Project Information'!$B$8-1,A11+1,"")</f>
        <v/>
      </c>
      <c r="B12" s="22">
        <v>0</v>
      </c>
      <c r="C12" s="8">
        <f>IFERROR(B12/(1+$A$4)^(A12-Overview!$B$22),0)</f>
        <v>0</v>
      </c>
      <c r="E12" s="13"/>
      <c r="F12" s="276" t="s">
        <v>376</v>
      </c>
      <c r="G12" s="243">
        <v>885465</v>
      </c>
      <c r="H12" s="243">
        <v>2641317</v>
      </c>
      <c r="I12" s="243">
        <v>4913194</v>
      </c>
      <c r="J12" s="243">
        <v>843998</v>
      </c>
      <c r="K12" s="244">
        <f>SUM(G12:J12)</f>
        <v>9283974</v>
      </c>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t="str">
        <f>IF(A12&lt;$A$9+'Project Information'!$B$8-1,A12+1,"")</f>
        <v/>
      </c>
      <c r="B13" s="22">
        <v>0</v>
      </c>
      <c r="C13" s="8">
        <f>IFERROR(B13/(1+$A$4)^(A13-Overview!$B$22),0)</f>
        <v>0</v>
      </c>
      <c r="E13" s="13"/>
      <c r="F13" s="276" t="s">
        <v>377</v>
      </c>
      <c r="G13" s="243">
        <v>0</v>
      </c>
      <c r="H13" s="243">
        <v>0</v>
      </c>
      <c r="I13" s="243">
        <v>0</v>
      </c>
      <c r="J13" s="243">
        <v>0</v>
      </c>
      <c r="K13" s="244">
        <f t="shared" ref="K13:K14" si="0">SUM(G13:J13)</f>
        <v>0</v>
      </c>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t="str">
        <f>IF(A13&lt;$A$9+'Project Information'!$B$8-1,A13+1,"")</f>
        <v/>
      </c>
      <c r="B14" s="22">
        <v>0</v>
      </c>
      <c r="C14" s="8">
        <f>IFERROR(B14/(1+$A$4)^(A14-Overview!$B$22),0)</f>
        <v>0</v>
      </c>
      <c r="E14" s="13"/>
      <c r="F14" s="276" t="s">
        <v>378</v>
      </c>
      <c r="G14" s="243">
        <v>221365</v>
      </c>
      <c r="H14" s="243">
        <v>660329</v>
      </c>
      <c r="I14" s="243">
        <v>1228298</v>
      </c>
      <c r="J14" s="243">
        <v>210998</v>
      </c>
      <c r="K14" s="244">
        <f t="shared" si="0"/>
        <v>2320990</v>
      </c>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t="str">
        <f>IF(A14&lt;$A$9+'Project Information'!$B$8-1,A14+1,"")</f>
        <v/>
      </c>
      <c r="B15" s="22">
        <v>0</v>
      </c>
      <c r="C15" s="8">
        <f>IFERROR(B15/(1+$A$4)^(A15-Overview!$B$22),0)</f>
        <v>0</v>
      </c>
      <c r="E15" s="13"/>
      <c r="F15" s="296" t="s">
        <v>379</v>
      </c>
      <c r="G15" s="247">
        <f>SUM(G12:G14)</f>
        <v>1106830</v>
      </c>
      <c r="H15" s="247">
        <f>SUM(H12:H14)</f>
        <v>3301646</v>
      </c>
      <c r="I15" s="247">
        <f t="shared" ref="I15:K15" si="1">SUM(I12:I14)</f>
        <v>6141492</v>
      </c>
      <c r="J15" s="247">
        <f t="shared" si="1"/>
        <v>1054996</v>
      </c>
      <c r="K15" s="247">
        <f t="shared" si="1"/>
        <v>11604964</v>
      </c>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t="str">
        <f>IF(A15&lt;$A$9+'Project Information'!$B$8-1,A15+1,"")</f>
        <v/>
      </c>
      <c r="B16" s="22">
        <v>0</v>
      </c>
      <c r="C16" s="8">
        <f>IFERROR(B16/(1+$A$4)^(A16-Overview!$B$22),0)</f>
        <v>0</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t="str">
        <f>IF(A16&lt;$A$9+'Project Information'!$B$8-1,A16+1,"")</f>
        <v/>
      </c>
      <c r="B17" s="22">
        <v>0</v>
      </c>
      <c r="C17" s="8">
        <f>IFERROR(B17/(1+$A$4)^(A17-Overview!$B$22),0)</f>
        <v>0</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t="str">
        <f>IF(A17&lt;$A$9+'Project Information'!$B$8-1,A17+1,"")</f>
        <v/>
      </c>
      <c r="B18" s="22">
        <v>0</v>
      </c>
      <c r="C18" s="8">
        <f>IFERROR(B18/(1+$A$4)^(A18-Overview!$B$22),0)</f>
        <v>0</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t="str">
        <f>IF(A18&lt;$A$9+'Project Information'!$B$8-1,A18+1,"")</f>
        <v/>
      </c>
      <c r="B19" s="22">
        <v>0</v>
      </c>
      <c r="C19" s="8">
        <f>IFERROR(B19/(1+$A$4)^(A19-Overview!$B$22),0)</f>
        <v>0</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t="str">
        <f>IF(A19&lt;$A$9+'Project Information'!$B$8-1,A19+1,"")</f>
        <v/>
      </c>
      <c r="B20" s="22">
        <v>0</v>
      </c>
      <c r="C20" s="8">
        <f>IFERROR(B20/(1+$A$4)^(A20-Overview!$B$22),0)</f>
        <v>0</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t="str">
        <f>IF(A20&lt;$A$9+'Project Information'!$B$8-1,A20+1,"")</f>
        <v/>
      </c>
      <c r="B21" s="22">
        <v>0</v>
      </c>
      <c r="C21" s="8">
        <f>IFERROR(B21/(1+$A$4)^(A21-Overview!$B$22),0)</f>
        <v>0</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t="str">
        <f>IF(A21&lt;$A$9+'Project Information'!$B$8-1,A21+1,"")</f>
        <v/>
      </c>
      <c r="B22" s="22">
        <v>0</v>
      </c>
      <c r="C22" s="8">
        <f>IFERROR(B22/(1+$A$4)^(A22-Overview!$B$22),0)</f>
        <v>0</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t="str">
        <f>IF(A22&lt;$A$9+'Project Information'!$B$8-1,A22+1,"")</f>
        <v/>
      </c>
      <c r="B23" s="22">
        <v>0</v>
      </c>
      <c r="C23" s="8">
        <f>IFERROR(B23/(1+$A$4)^(A23-Overview!$B$22),0)</f>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31"/>
      <c r="B24" s="32"/>
      <c r="C24" s="33"/>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B25" s="28"/>
      <c r="C25" s="29"/>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B26" s="28"/>
      <c r="C26" s="29"/>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B27" s="28"/>
      <c r="C27" s="29"/>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B28" s="28"/>
      <c r="C28" s="29"/>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B29" s="28"/>
      <c r="C29" s="29"/>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B30" s="28"/>
      <c r="C30" s="29"/>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B31" s="28"/>
      <c r="C31" s="29"/>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B32" s="28"/>
      <c r="C32" s="29"/>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2:52" x14ac:dyDescent="0.35">
      <c r="B33" s="28"/>
      <c r="C33" s="29"/>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2:52" x14ac:dyDescent="0.35">
      <c r="B34" s="28"/>
      <c r="C34" s="29"/>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2:52" x14ac:dyDescent="0.35">
      <c r="B35" s="28"/>
      <c r="C35" s="29"/>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2:52" x14ac:dyDescent="0.35">
      <c r="B36" s="28"/>
      <c r="C36" s="29"/>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2:52" x14ac:dyDescent="0.35">
      <c r="B37" s="28"/>
      <c r="C37" s="29"/>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2:52" x14ac:dyDescent="0.35">
      <c r="B38" s="28"/>
      <c r="C38" s="29"/>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2:52" x14ac:dyDescent="0.35">
      <c r="B39" s="28"/>
      <c r="C39" s="29"/>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2:52" x14ac:dyDescent="0.35">
      <c r="B40" s="28"/>
      <c r="C40" s="29"/>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2:52" x14ac:dyDescent="0.35">
      <c r="B41" s="28"/>
      <c r="C41" s="29"/>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2:52" x14ac:dyDescent="0.35">
      <c r="B42" s="28"/>
      <c r="C42" s="29"/>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2:52" x14ac:dyDescent="0.35">
      <c r="B43" s="28"/>
      <c r="C43" s="29"/>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2:52" x14ac:dyDescent="0.35">
      <c r="B44" s="28"/>
      <c r="C44" s="29"/>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2:52" x14ac:dyDescent="0.35">
      <c r="B45" s="28"/>
      <c r="C45" s="29"/>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2:52" x14ac:dyDescent="0.35">
      <c r="B46" s="28"/>
      <c r="C46" s="29"/>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2:52" x14ac:dyDescent="0.35">
      <c r="B47" s="28"/>
      <c r="C47" s="29"/>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2:52" ht="15" thickBot="1" x14ac:dyDescent="0.4">
      <c r="B48" s="28"/>
      <c r="C48" s="29"/>
      <c r="E48" s="15"/>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7"/>
    </row>
  </sheetData>
  <mergeCells count="1">
    <mergeCell ref="F10:K10"/>
  </mergeCells>
  <conditionalFormatting sqref="B9:B23">
    <cfRule type="expression" dxfId="19" priority="1">
      <formula>A9=""</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AE057-E6FF-4D9B-8D90-BB0742B57975}">
  <sheetPr>
    <tabColor theme="8" tint="0.79998168889431442"/>
    <pageSetUpPr fitToPage="1"/>
  </sheetPr>
  <dimension ref="B2:N40"/>
  <sheetViews>
    <sheetView workbookViewId="0"/>
  </sheetViews>
  <sheetFormatPr defaultRowHeight="14.5" x14ac:dyDescent="0.35"/>
  <cols>
    <col min="1" max="1" width="5.1796875" customWidth="1"/>
    <col min="2" max="2" width="28.1796875" bestFit="1" customWidth="1"/>
    <col min="3" max="3" width="21.7265625" bestFit="1" customWidth="1"/>
    <col min="4" max="4" width="22.1796875" bestFit="1" customWidth="1"/>
    <col min="5" max="5" width="22.54296875" bestFit="1" customWidth="1"/>
    <col min="6" max="6" width="20.1796875" bestFit="1" customWidth="1"/>
    <col min="7" max="7" width="20.1796875" customWidth="1"/>
    <col min="8" max="8" width="14.7265625" bestFit="1" customWidth="1"/>
    <col min="9" max="9" width="16.54296875" bestFit="1" customWidth="1"/>
    <col min="10" max="10" width="5.1796875" customWidth="1"/>
    <col min="11" max="11" width="12" bestFit="1" customWidth="1"/>
  </cols>
  <sheetData>
    <row r="2" spans="2:11" x14ac:dyDescent="0.35">
      <c r="B2" s="577" t="s">
        <v>369</v>
      </c>
      <c r="C2" s="577"/>
      <c r="D2" s="577"/>
      <c r="E2" s="577"/>
      <c r="F2" s="577"/>
      <c r="G2" s="578"/>
      <c r="H2" s="211"/>
      <c r="I2" s="211"/>
    </row>
    <row r="3" spans="2:11" ht="65" x14ac:dyDescent="0.35">
      <c r="B3" s="236" t="s">
        <v>370</v>
      </c>
      <c r="C3" s="237" t="s">
        <v>371</v>
      </c>
      <c r="D3" s="238" t="s">
        <v>372</v>
      </c>
      <c r="E3" s="239" t="s">
        <v>373</v>
      </c>
      <c r="F3" s="240" t="s">
        <v>374</v>
      </c>
      <c r="G3" s="241" t="s">
        <v>375</v>
      </c>
    </row>
    <row r="4" spans="2:11" x14ac:dyDescent="0.35">
      <c r="B4" s="242" t="s">
        <v>376</v>
      </c>
      <c r="C4" s="243">
        <v>885465</v>
      </c>
      <c r="D4" s="243">
        <v>2641317</v>
      </c>
      <c r="E4" s="243">
        <v>4913194</v>
      </c>
      <c r="F4" s="243">
        <v>843998</v>
      </c>
      <c r="G4" s="244">
        <f>SUM(C4:F4)</f>
        <v>9283974</v>
      </c>
      <c r="H4" s="245"/>
      <c r="K4" s="245"/>
    </row>
    <row r="5" spans="2:11" x14ac:dyDescent="0.35">
      <c r="B5" s="242" t="s">
        <v>377</v>
      </c>
      <c r="C5" s="243">
        <v>0</v>
      </c>
      <c r="D5" s="243">
        <v>0</v>
      </c>
      <c r="E5" s="243">
        <v>0</v>
      </c>
      <c r="F5" s="243">
        <v>0</v>
      </c>
      <c r="G5" s="244">
        <f t="shared" ref="G5:G6" si="0">SUM(C5:F5)</f>
        <v>0</v>
      </c>
      <c r="H5" s="245"/>
      <c r="K5" s="245"/>
    </row>
    <row r="6" spans="2:11" x14ac:dyDescent="0.35">
      <c r="B6" s="242" t="s">
        <v>378</v>
      </c>
      <c r="C6" s="243">
        <v>221365</v>
      </c>
      <c r="D6" s="243">
        <v>660329</v>
      </c>
      <c r="E6" s="243">
        <v>1228298</v>
      </c>
      <c r="F6" s="243">
        <v>210998</v>
      </c>
      <c r="G6" s="244">
        <f t="shared" si="0"/>
        <v>2320990</v>
      </c>
      <c r="H6" s="245"/>
      <c r="K6" s="245"/>
    </row>
    <row r="7" spans="2:11" x14ac:dyDescent="0.35">
      <c r="B7" s="246" t="s">
        <v>379</v>
      </c>
      <c r="C7" s="247">
        <f>SUM(C4:C6)</f>
        <v>1106830</v>
      </c>
      <c r="D7" s="247">
        <f>SUM(D4:D6)</f>
        <v>3301646</v>
      </c>
      <c r="E7" s="247">
        <f t="shared" ref="E7:G7" si="1">SUM(E4:E6)</f>
        <v>6141492</v>
      </c>
      <c r="F7" s="247">
        <f t="shared" si="1"/>
        <v>1054996</v>
      </c>
      <c r="G7" s="247">
        <f t="shared" si="1"/>
        <v>11604964</v>
      </c>
      <c r="H7" s="245"/>
    </row>
    <row r="8" spans="2:11" x14ac:dyDescent="0.35">
      <c r="B8" s="248"/>
      <c r="C8" s="249"/>
      <c r="D8" s="250"/>
      <c r="E8" s="249"/>
      <c r="F8" s="250"/>
      <c r="G8" s="251"/>
      <c r="H8" s="251"/>
      <c r="I8" s="252"/>
    </row>
    <row r="9" spans="2:11" ht="14.5" customHeight="1" x14ac:dyDescent="0.35">
      <c r="B9" s="235"/>
      <c r="C9" s="235"/>
      <c r="D9" s="253"/>
      <c r="E9" s="253"/>
      <c r="F9" s="253"/>
      <c r="G9" s="253"/>
      <c r="H9" s="253"/>
      <c r="I9" s="253"/>
    </row>
    <row r="10" spans="2:11" ht="14.5" customHeight="1" x14ac:dyDescent="0.35">
      <c r="B10" s="579" t="s">
        <v>380</v>
      </c>
      <c r="C10" s="579"/>
      <c r="D10" s="579"/>
      <c r="E10" s="579"/>
      <c r="F10" s="579"/>
      <c r="G10" s="580"/>
      <c r="H10" s="254"/>
      <c r="I10" s="254"/>
    </row>
    <row r="11" spans="2:11" x14ac:dyDescent="0.35">
      <c r="B11" s="401" t="s">
        <v>381</v>
      </c>
      <c r="C11" s="255" t="s">
        <v>382</v>
      </c>
      <c r="D11" s="255" t="s">
        <v>383</v>
      </c>
      <c r="E11" s="255" t="s">
        <v>384</v>
      </c>
      <c r="F11" s="256" t="s">
        <v>385</v>
      </c>
      <c r="G11" s="219"/>
    </row>
    <row r="12" spans="2:11" ht="14.5" customHeight="1" x14ac:dyDescent="0.35">
      <c r="B12" s="242" t="s">
        <v>386</v>
      </c>
      <c r="C12" s="243">
        <v>0</v>
      </c>
      <c r="D12" s="243">
        <v>0</v>
      </c>
      <c r="E12" s="243">
        <v>0</v>
      </c>
      <c r="F12" s="244">
        <f>SUM(C12:E12)</f>
        <v>0</v>
      </c>
    </row>
    <row r="13" spans="2:11" x14ac:dyDescent="0.35">
      <c r="B13" s="242" t="s">
        <v>387</v>
      </c>
      <c r="C13" s="243">
        <v>0</v>
      </c>
      <c r="D13" s="243">
        <v>0</v>
      </c>
      <c r="E13" s="243">
        <v>0</v>
      </c>
      <c r="F13" s="244">
        <f t="shared" ref="F13:F17" si="2">SUM(C13:E13)</f>
        <v>0</v>
      </c>
    </row>
    <row r="14" spans="2:11" x14ac:dyDescent="0.35">
      <c r="B14" s="242" t="s">
        <v>388</v>
      </c>
      <c r="C14" s="243">
        <v>0</v>
      </c>
      <c r="D14" s="243">
        <v>0</v>
      </c>
      <c r="E14" s="243">
        <v>0</v>
      </c>
      <c r="F14" s="244">
        <f t="shared" si="2"/>
        <v>0</v>
      </c>
      <c r="G14" s="257"/>
    </row>
    <row r="15" spans="2:11" s="259" customFormat="1" ht="14.5" customHeight="1" x14ac:dyDescent="0.35">
      <c r="B15" s="242" t="s">
        <v>389</v>
      </c>
      <c r="C15" s="243">
        <v>6653105</v>
      </c>
      <c r="D15" s="243">
        <v>0</v>
      </c>
      <c r="E15" s="243">
        <v>1663275</v>
      </c>
      <c r="F15" s="244">
        <f t="shared" si="2"/>
        <v>8316380</v>
      </c>
      <c r="G15" s="258"/>
    </row>
    <row r="16" spans="2:11" s="259" customFormat="1" ht="14.5" customHeight="1" x14ac:dyDescent="0.35">
      <c r="B16" s="242" t="s">
        <v>390</v>
      </c>
      <c r="C16" s="243">
        <v>843998</v>
      </c>
      <c r="D16" s="243">
        <v>0</v>
      </c>
      <c r="E16" s="243">
        <v>210998</v>
      </c>
      <c r="F16" s="244">
        <f t="shared" si="2"/>
        <v>1054996</v>
      </c>
      <c r="G16" s="258"/>
    </row>
    <row r="17" spans="2:14" s="259" customFormat="1" ht="14.5" customHeight="1" x14ac:dyDescent="0.35">
      <c r="B17" s="242" t="s">
        <v>391</v>
      </c>
      <c r="C17" s="243">
        <v>1786870</v>
      </c>
      <c r="D17" s="243">
        <v>0</v>
      </c>
      <c r="E17" s="243">
        <v>446718</v>
      </c>
      <c r="F17" s="244">
        <f t="shared" si="2"/>
        <v>2233588</v>
      </c>
      <c r="G17" s="258"/>
    </row>
    <row r="18" spans="2:14" x14ac:dyDescent="0.35">
      <c r="B18" s="246" t="s">
        <v>392</v>
      </c>
      <c r="C18" s="247">
        <f>SUM(C12:C17)</f>
        <v>9283973</v>
      </c>
      <c r="D18" s="247">
        <f t="shared" ref="D18:F18" si="3">SUM(D12:D17)</f>
        <v>0</v>
      </c>
      <c r="E18" s="247">
        <f t="shared" si="3"/>
        <v>2320991</v>
      </c>
      <c r="F18" s="247">
        <f t="shared" si="3"/>
        <v>11604964</v>
      </c>
      <c r="G18" s="260"/>
    </row>
    <row r="19" spans="2:14" x14ac:dyDescent="0.35">
      <c r="B19" s="261"/>
      <c r="C19" s="245"/>
      <c r="D19" s="245"/>
      <c r="E19" s="245"/>
      <c r="F19" s="245"/>
      <c r="G19" s="260"/>
    </row>
    <row r="20" spans="2:14" x14ac:dyDescent="0.35">
      <c r="B20" s="261"/>
      <c r="C20" s="245"/>
      <c r="D20" s="245"/>
      <c r="E20" s="245"/>
      <c r="F20" s="245"/>
      <c r="G20" s="260"/>
    </row>
    <row r="21" spans="2:14" x14ac:dyDescent="0.35">
      <c r="B21" s="220" t="s">
        <v>393</v>
      </c>
      <c r="C21" s="245"/>
      <c r="D21" s="245"/>
      <c r="E21" s="245"/>
      <c r="F21" s="245"/>
      <c r="G21" s="260"/>
    </row>
    <row r="22" spans="2:14" ht="29" x14ac:dyDescent="0.35">
      <c r="B22" s="262" t="s">
        <v>370</v>
      </c>
      <c r="C22" s="263" t="s">
        <v>394</v>
      </c>
      <c r="D22" s="263" t="s">
        <v>395</v>
      </c>
      <c r="E22" s="245"/>
      <c r="F22" s="245"/>
      <c r="G22" s="260"/>
    </row>
    <row r="23" spans="2:14" x14ac:dyDescent="0.35">
      <c r="B23" s="242" t="s">
        <v>377</v>
      </c>
      <c r="C23" s="264" t="s">
        <v>396</v>
      </c>
      <c r="D23" s="264" t="s">
        <v>351</v>
      </c>
      <c r="E23" s="245"/>
      <c r="F23" s="245"/>
      <c r="G23" s="260"/>
    </row>
    <row r="24" spans="2:14" x14ac:dyDescent="0.35">
      <c r="B24" s="242" t="s">
        <v>397</v>
      </c>
      <c r="C24" s="264" t="s">
        <v>398</v>
      </c>
      <c r="D24" s="245" t="s">
        <v>399</v>
      </c>
      <c r="E24" s="264"/>
      <c r="F24" s="245"/>
      <c r="G24" s="260"/>
    </row>
    <row r="25" spans="2:14" x14ac:dyDescent="0.35">
      <c r="B25" s="265" t="s">
        <v>400</v>
      </c>
      <c r="C25" s="266" t="s">
        <v>401</v>
      </c>
      <c r="D25" s="267" t="s">
        <v>402</v>
      </c>
      <c r="E25" s="245"/>
      <c r="F25" s="245"/>
      <c r="G25" s="260"/>
    </row>
    <row r="26" spans="2:14" x14ac:dyDescent="0.35">
      <c r="B26" s="242"/>
      <c r="C26" s="264"/>
      <c r="D26" s="245"/>
      <c r="E26" s="245"/>
      <c r="F26" s="245"/>
      <c r="G26" s="260"/>
    </row>
    <row r="28" spans="2:14" x14ac:dyDescent="0.35">
      <c r="B28" s="577" t="s">
        <v>403</v>
      </c>
      <c r="C28" s="577"/>
      <c r="D28" s="578"/>
      <c r="M28" s="211"/>
    </row>
    <row r="29" spans="2:14" ht="29" x14ac:dyDescent="0.35">
      <c r="B29" s="268" t="s">
        <v>404</v>
      </c>
      <c r="C29" s="269" t="s">
        <v>405</v>
      </c>
      <c r="D29" s="270"/>
      <c r="F29" s="220"/>
      <c r="G29" s="271"/>
      <c r="H29" s="272"/>
      <c r="L29" s="220"/>
      <c r="M29" s="271"/>
      <c r="N29" s="272"/>
    </row>
    <row r="30" spans="2:14" x14ac:dyDescent="0.35">
      <c r="B30" s="273" t="s">
        <v>406</v>
      </c>
      <c r="C30" s="274">
        <v>5840384</v>
      </c>
      <c r="D30" s="275"/>
      <c r="F30" s="276"/>
      <c r="G30" s="277"/>
      <c r="H30" s="278"/>
      <c r="L30" s="276"/>
      <c r="M30" s="277"/>
      <c r="N30" s="278"/>
    </row>
    <row r="31" spans="2:14" x14ac:dyDescent="0.35">
      <c r="B31" s="273" t="s">
        <v>407</v>
      </c>
      <c r="C31" s="274">
        <v>4547066</v>
      </c>
      <c r="D31" s="275"/>
      <c r="F31" s="276"/>
      <c r="G31" s="277"/>
      <c r="H31" s="278"/>
      <c r="L31" s="276"/>
      <c r="M31" s="277"/>
      <c r="N31" s="278"/>
    </row>
    <row r="32" spans="2:14" x14ac:dyDescent="0.35">
      <c r="B32" s="273" t="s">
        <v>408</v>
      </c>
      <c r="C32" s="274">
        <v>1217514</v>
      </c>
      <c r="D32" s="275"/>
      <c r="F32" s="276"/>
      <c r="G32" s="277"/>
      <c r="H32" s="278"/>
      <c r="L32" s="276"/>
      <c r="M32" s="277"/>
      <c r="N32" s="278"/>
    </row>
    <row r="33" spans="2:14" x14ac:dyDescent="0.35">
      <c r="B33" s="279" t="s">
        <v>379</v>
      </c>
      <c r="C33" s="280">
        <f>SUM(C30:C32)</f>
        <v>11604964</v>
      </c>
      <c r="D33" s="245"/>
      <c r="F33" s="261"/>
      <c r="G33" s="245"/>
      <c r="H33" s="281"/>
      <c r="I33" s="282"/>
      <c r="L33" s="261"/>
      <c r="M33" s="245"/>
      <c r="N33" s="283"/>
    </row>
    <row r="34" spans="2:14" x14ac:dyDescent="0.35">
      <c r="B34" s="261"/>
      <c r="C34" s="245"/>
      <c r="I34" s="284"/>
      <c r="J34" s="282"/>
    </row>
    <row r="35" spans="2:14" x14ac:dyDescent="0.35">
      <c r="B35" s="261"/>
      <c r="C35" s="245"/>
    </row>
    <row r="36" spans="2:14" x14ac:dyDescent="0.35">
      <c r="B36" s="578" t="s">
        <v>409</v>
      </c>
      <c r="C36" s="578"/>
      <c r="D36" s="578"/>
    </row>
    <row r="37" spans="2:14" x14ac:dyDescent="0.35">
      <c r="B37" s="255" t="s">
        <v>410</v>
      </c>
      <c r="C37" s="285" t="s">
        <v>411</v>
      </c>
    </row>
    <row r="38" spans="2:14" ht="43.5" x14ac:dyDescent="0.35">
      <c r="B38" s="286" t="s">
        <v>412</v>
      </c>
      <c r="C38" s="287">
        <v>0</v>
      </c>
      <c r="D38" s="288"/>
    </row>
    <row r="39" spans="2:14" ht="29" x14ac:dyDescent="0.35">
      <c r="B39" s="286" t="s">
        <v>413</v>
      </c>
      <c r="C39" s="287">
        <v>11604964</v>
      </c>
      <c r="D39" s="288"/>
    </row>
    <row r="40" spans="2:14" x14ac:dyDescent="0.35">
      <c r="B40" s="246" t="s">
        <v>379</v>
      </c>
      <c r="C40" s="289">
        <f>SUM(C38:C39)</f>
        <v>11604964</v>
      </c>
    </row>
  </sheetData>
  <mergeCells count="4">
    <mergeCell ref="B2:G2"/>
    <mergeCell ref="B10:G10"/>
    <mergeCell ref="B28:D28"/>
    <mergeCell ref="B36:D36"/>
  </mergeCells>
  <pageMargins left="0.7" right="0.7" top="0.75" bottom="0.75" header="0.3" footer="0.3"/>
  <pageSetup scale="71" fitToWidth="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5E38E-8165-48A5-9087-43035F106B2B}">
  <sheetPr>
    <tabColor theme="9" tint="0.39997558519241921"/>
  </sheetPr>
  <dimension ref="A1:BB97"/>
  <sheetViews>
    <sheetView workbookViewId="0"/>
  </sheetViews>
  <sheetFormatPr defaultColWidth="9.1796875" defaultRowHeight="14.5" x14ac:dyDescent="0.35"/>
  <cols>
    <col min="1" max="1" width="28.54296875" style="5" customWidth="1"/>
    <col min="2" max="2" width="42" style="5" customWidth="1"/>
    <col min="3" max="3" width="37.81640625" style="5" customWidth="1"/>
    <col min="4" max="4" width="46.54296875" style="5" customWidth="1"/>
    <col min="5" max="7" width="9.1796875" style="5"/>
    <col min="8" max="8" width="36.08984375" style="5" bestFit="1" customWidth="1"/>
    <col min="9" max="9" width="12.6328125" style="5" bestFit="1" customWidth="1"/>
    <col min="10" max="10" width="12.1796875" style="5" bestFit="1" customWidth="1"/>
    <col min="11" max="11" width="9.1796875" style="5" bestFit="1" customWidth="1"/>
    <col min="12" max="12" width="48.54296875" style="5" bestFit="1" customWidth="1"/>
    <col min="13" max="13" width="9.1796875" style="5"/>
    <col min="14" max="14" width="42.1796875" style="5" bestFit="1" customWidth="1"/>
    <col min="15" max="17" width="9.1796875" style="5"/>
    <col min="18" max="18" width="50.6328125" style="5" customWidth="1"/>
    <col min="19" max="19" width="9.1796875" style="5"/>
    <col min="20" max="20" width="54" style="5" customWidth="1"/>
    <col min="21" max="21" width="9.1796875" style="5"/>
    <col min="22" max="22" width="9.90625" style="5" bestFit="1" customWidth="1"/>
    <col min="23" max="23" width="9.1796875" style="5"/>
    <col min="24" max="24" width="50.6328125" style="5" customWidth="1"/>
    <col min="25" max="16384" width="9.1796875" style="5"/>
  </cols>
  <sheetData>
    <row r="1" spans="1:54" ht="20" thickBot="1" x14ac:dyDescent="0.5">
      <c r="A1" s="94" t="s">
        <v>219</v>
      </c>
    </row>
    <row r="2" spans="1:54" ht="15" thickTop="1" x14ac:dyDescent="0.35">
      <c r="A2" s="145" t="s">
        <v>344</v>
      </c>
      <c r="B2" s="144"/>
      <c r="C2" s="144"/>
      <c r="D2" s="144"/>
      <c r="E2" s="144"/>
    </row>
    <row r="3" spans="1:54" x14ac:dyDescent="0.35">
      <c r="A3" s="5" t="s">
        <v>203</v>
      </c>
    </row>
    <row r="4" spans="1:54" x14ac:dyDescent="0.35">
      <c r="A4" s="145" t="s">
        <v>298</v>
      </c>
      <c r="B4" s="145"/>
      <c r="C4" s="145"/>
      <c r="D4" s="145"/>
      <c r="E4" s="145"/>
      <c r="F4" s="145"/>
    </row>
    <row r="5" spans="1:54" x14ac:dyDescent="0.35">
      <c r="A5" s="5" t="s">
        <v>203</v>
      </c>
    </row>
    <row r="6" spans="1:54" ht="15" thickBot="1" x14ac:dyDescent="0.4">
      <c r="A6" s="95" t="s">
        <v>247</v>
      </c>
    </row>
    <row r="7" spans="1:54" x14ac:dyDescent="0.35">
      <c r="A7" s="104" t="s">
        <v>4</v>
      </c>
      <c r="B7" s="105" t="s">
        <v>169</v>
      </c>
      <c r="C7" s="105" t="s">
        <v>170</v>
      </c>
      <c r="D7" s="105" t="s">
        <v>161</v>
      </c>
      <c r="G7" s="10" t="s">
        <v>159</v>
      </c>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2"/>
    </row>
    <row r="8" spans="1:54" x14ac:dyDescent="0.35">
      <c r="A8" s="6">
        <f>'Project Information'!$B$9</f>
        <v>2033</v>
      </c>
      <c r="B8" s="22">
        <f>SUM(J$18,P$18,V$18)+($P$21+$V$21)</f>
        <v>1093500</v>
      </c>
      <c r="C8" s="22">
        <f>SUM(K$18,Q$18,W$18)</f>
        <v>31800</v>
      </c>
      <c r="D8" s="26">
        <f>C8-B8</f>
        <v>-1061700</v>
      </c>
      <c r="G8" s="13"/>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s="14"/>
    </row>
    <row r="9" spans="1:54" ht="43.5" x14ac:dyDescent="0.35">
      <c r="A9" s="1">
        <f>IF(A8&lt;'Project Information'!B$11,A8+1,"")</f>
        <v>2034</v>
      </c>
      <c r="B9" s="22">
        <f t="shared" ref="B9:B27" si="0">SUM(J$18,P$18,V$18)</f>
        <v>43500</v>
      </c>
      <c r="C9" s="22">
        <f t="shared" ref="C9:C27" si="1">SUM(K$18,Q$18,W$18)</f>
        <v>31800</v>
      </c>
      <c r="D9" s="8">
        <f t="shared" ref="D9:D37" si="2">C9-B9</f>
        <v>-11700</v>
      </c>
      <c r="G9" s="13"/>
      <c r="H9" s="352" t="s">
        <v>1598</v>
      </c>
      <c r="I9" s="352" t="s">
        <v>1553</v>
      </c>
      <c r="J9" s="352" t="s">
        <v>1554</v>
      </c>
      <c r="K9" s="352" t="s">
        <v>1555</v>
      </c>
      <c r="L9" s="356" t="s">
        <v>201</v>
      </c>
      <c r="M9"/>
      <c r="N9" s="352" t="s">
        <v>1630</v>
      </c>
      <c r="O9" s="352" t="s">
        <v>1553</v>
      </c>
      <c r="P9" s="352" t="s">
        <v>1554</v>
      </c>
      <c r="Q9" s="352" t="s">
        <v>1555</v>
      </c>
      <c r="R9" s="356" t="s">
        <v>201</v>
      </c>
      <c r="S9"/>
      <c r="T9" s="352" t="s">
        <v>1559</v>
      </c>
      <c r="U9" s="352" t="s">
        <v>1553</v>
      </c>
      <c r="V9" s="352" t="s">
        <v>1554</v>
      </c>
      <c r="W9" s="352" t="s">
        <v>1555</v>
      </c>
      <c r="X9" s="356" t="s">
        <v>201</v>
      </c>
      <c r="Y9"/>
      <c r="Z9"/>
      <c r="AA9"/>
      <c r="AB9"/>
      <c r="AC9"/>
      <c r="AD9"/>
      <c r="AE9"/>
      <c r="AF9"/>
      <c r="AG9"/>
      <c r="AH9"/>
      <c r="AI9"/>
      <c r="AJ9"/>
      <c r="AK9"/>
      <c r="AL9"/>
      <c r="AM9"/>
      <c r="AN9"/>
      <c r="AO9"/>
      <c r="AP9"/>
      <c r="AQ9"/>
      <c r="AR9"/>
      <c r="AS9"/>
      <c r="AT9"/>
      <c r="AU9"/>
      <c r="AV9"/>
      <c r="AW9"/>
      <c r="AX9"/>
      <c r="AY9"/>
      <c r="AZ9"/>
      <c r="BA9"/>
      <c r="BB9" s="14"/>
    </row>
    <row r="10" spans="1:54" x14ac:dyDescent="0.35">
      <c r="A10" s="1">
        <f>IF(A9&lt;'Project Information'!B$11,A9+1,"")</f>
        <v>2035</v>
      </c>
      <c r="B10" s="22">
        <f t="shared" si="0"/>
        <v>43500</v>
      </c>
      <c r="C10" s="22">
        <f t="shared" si="1"/>
        <v>31800</v>
      </c>
      <c r="D10" s="8">
        <f t="shared" si="2"/>
        <v>-11700</v>
      </c>
      <c r="G10" s="13"/>
      <c r="H10" s="357" t="s">
        <v>1615</v>
      </c>
      <c r="I10" s="358"/>
      <c r="J10" s="358"/>
      <c r="K10" s="358"/>
      <c r="L10" s="359"/>
      <c r="M10"/>
      <c r="N10" s="357" t="s">
        <v>1615</v>
      </c>
      <c r="O10" s="358"/>
      <c r="P10" s="358"/>
      <c r="Q10" s="358"/>
      <c r="R10" s="359"/>
      <c r="S10"/>
      <c r="T10" s="357" t="s">
        <v>1615</v>
      </c>
      <c r="U10" s="358"/>
      <c r="V10" s="358"/>
      <c r="W10" s="358"/>
      <c r="X10" s="359"/>
      <c r="Y10"/>
      <c r="Z10"/>
      <c r="AA10"/>
      <c r="AB10"/>
      <c r="AC10"/>
      <c r="AD10"/>
      <c r="AE10"/>
      <c r="AF10"/>
      <c r="AG10"/>
      <c r="AH10"/>
      <c r="AI10"/>
      <c r="AJ10"/>
      <c r="AK10"/>
      <c r="AL10"/>
      <c r="AM10"/>
      <c r="AN10"/>
      <c r="AO10"/>
      <c r="AP10"/>
      <c r="AQ10"/>
      <c r="AR10"/>
      <c r="AS10"/>
      <c r="AT10"/>
      <c r="AU10"/>
      <c r="AV10"/>
      <c r="AW10"/>
      <c r="AX10"/>
      <c r="AY10"/>
      <c r="AZ10"/>
      <c r="BA10"/>
      <c r="BB10" s="14"/>
    </row>
    <row r="11" spans="1:54" x14ac:dyDescent="0.35">
      <c r="A11" s="1">
        <f>IF(A10&lt;'Project Information'!B$11,A10+1,"")</f>
        <v>2036</v>
      </c>
      <c r="B11" s="22">
        <f t="shared" si="0"/>
        <v>43500</v>
      </c>
      <c r="C11" s="22">
        <f t="shared" si="1"/>
        <v>31800</v>
      </c>
      <c r="D11" s="8">
        <f t="shared" si="2"/>
        <v>-11700</v>
      </c>
      <c r="G11" s="13"/>
      <c r="H11" s="360" t="s">
        <v>1617</v>
      </c>
      <c r="I11" s="276" t="s">
        <v>1616</v>
      </c>
      <c r="J11" s="354">
        <v>0</v>
      </c>
      <c r="K11" s="354">
        <v>200</v>
      </c>
      <c r="L11" s="60"/>
      <c r="M11"/>
      <c r="N11" s="360" t="s">
        <v>1620</v>
      </c>
      <c r="O11" s="276" t="s">
        <v>1616</v>
      </c>
      <c r="P11" s="354">
        <v>5000</v>
      </c>
      <c r="Q11" s="354">
        <v>3000</v>
      </c>
      <c r="R11" s="60"/>
      <c r="S11"/>
      <c r="T11" s="360" t="s">
        <v>1617</v>
      </c>
      <c r="U11" s="276" t="s">
        <v>1616</v>
      </c>
      <c r="V11" s="354">
        <v>0</v>
      </c>
      <c r="W11" s="354">
        <v>300</v>
      </c>
      <c r="X11" s="60"/>
      <c r="Y11"/>
      <c r="Z11"/>
      <c r="AA11"/>
      <c r="AB11"/>
      <c r="AC11"/>
      <c r="AD11"/>
      <c r="AE11"/>
      <c r="AF11"/>
      <c r="AG11"/>
      <c r="AH11"/>
      <c r="AI11"/>
      <c r="AJ11"/>
      <c r="AK11"/>
      <c r="AL11"/>
      <c r="AM11"/>
      <c r="AN11"/>
      <c r="AO11"/>
      <c r="AP11"/>
      <c r="AQ11"/>
      <c r="AR11"/>
      <c r="AS11"/>
      <c r="AT11"/>
      <c r="AU11"/>
      <c r="AV11"/>
      <c r="AW11"/>
      <c r="AX11"/>
      <c r="AY11"/>
      <c r="AZ11"/>
      <c r="BA11"/>
      <c r="BB11" s="14"/>
    </row>
    <row r="12" spans="1:54" x14ac:dyDescent="0.35">
      <c r="A12" s="1">
        <f>IF(A11&lt;'Project Information'!B$11,A11+1,"")</f>
        <v>2037</v>
      </c>
      <c r="B12" s="22">
        <f t="shared" si="0"/>
        <v>43500</v>
      </c>
      <c r="C12" s="22">
        <f t="shared" si="1"/>
        <v>31800</v>
      </c>
      <c r="D12" s="8">
        <f t="shared" si="2"/>
        <v>-11700</v>
      </c>
      <c r="G12" s="13"/>
      <c r="H12" s="360" t="s">
        <v>1618</v>
      </c>
      <c r="I12" s="276" t="s">
        <v>1616</v>
      </c>
      <c r="J12" s="354">
        <v>2000</v>
      </c>
      <c r="K12" s="354">
        <v>2500</v>
      </c>
      <c r="L12" s="60"/>
      <c r="M12"/>
      <c r="N12" s="360" t="s">
        <v>1621</v>
      </c>
      <c r="O12" s="276" t="s">
        <v>1616</v>
      </c>
      <c r="P12" s="354">
        <v>5000</v>
      </c>
      <c r="Q12" s="354">
        <v>1000</v>
      </c>
      <c r="R12" s="60"/>
      <c r="S12"/>
      <c r="T12" s="360" t="s">
        <v>1618</v>
      </c>
      <c r="U12" s="276" t="s">
        <v>1616</v>
      </c>
      <c r="V12" s="354">
        <v>2000</v>
      </c>
      <c r="W12" s="354">
        <v>2500</v>
      </c>
      <c r="X12" s="60"/>
      <c r="Y12"/>
      <c r="Z12"/>
      <c r="AA12"/>
      <c r="AB12"/>
      <c r="AC12"/>
      <c r="AD12"/>
      <c r="AE12"/>
      <c r="AF12"/>
      <c r="AG12"/>
      <c r="AH12"/>
      <c r="AI12"/>
      <c r="AJ12"/>
      <c r="AK12"/>
      <c r="AL12"/>
      <c r="AM12"/>
      <c r="AN12"/>
      <c r="AO12"/>
      <c r="AP12"/>
      <c r="AQ12"/>
      <c r="AR12"/>
      <c r="AS12"/>
      <c r="AT12"/>
      <c r="AU12"/>
      <c r="AV12"/>
      <c r="AW12"/>
      <c r="AX12"/>
      <c r="AY12"/>
      <c r="AZ12"/>
      <c r="BA12"/>
      <c r="BB12" s="14"/>
    </row>
    <row r="13" spans="1:54" x14ac:dyDescent="0.35">
      <c r="A13" s="1">
        <f>IF(A12&lt;'Project Information'!B$11,A12+1,"")</f>
        <v>2038</v>
      </c>
      <c r="B13" s="22">
        <f t="shared" si="0"/>
        <v>43500</v>
      </c>
      <c r="C13" s="22">
        <f t="shared" si="1"/>
        <v>31800</v>
      </c>
      <c r="D13" s="8">
        <f t="shared" si="2"/>
        <v>-11700</v>
      </c>
      <c r="G13" s="13"/>
      <c r="H13" s="360" t="s">
        <v>1619</v>
      </c>
      <c r="I13" s="276" t="s">
        <v>1616</v>
      </c>
      <c r="J13" s="354">
        <v>1000</v>
      </c>
      <c r="K13" s="354">
        <v>1500</v>
      </c>
      <c r="L13" s="60"/>
      <c r="M13"/>
      <c r="N13" s="360" t="s">
        <v>1627</v>
      </c>
      <c r="O13" s="276" t="s">
        <v>1616</v>
      </c>
      <c r="P13" s="354">
        <v>2000</v>
      </c>
      <c r="Q13" s="354">
        <v>800</v>
      </c>
      <c r="R13" s="60"/>
      <c r="S13"/>
      <c r="T13" s="360" t="s">
        <v>1619</v>
      </c>
      <c r="U13" s="276" t="s">
        <v>1616</v>
      </c>
      <c r="V13" s="354">
        <v>1000</v>
      </c>
      <c r="W13" s="354">
        <v>1000</v>
      </c>
      <c r="X13" s="60"/>
      <c r="Y13"/>
      <c r="Z13"/>
      <c r="AA13"/>
      <c r="AB13"/>
      <c r="AC13"/>
      <c r="AD13"/>
      <c r="AE13"/>
      <c r="AF13"/>
      <c r="AG13"/>
      <c r="AH13"/>
      <c r="AI13"/>
      <c r="AJ13"/>
      <c r="AK13"/>
      <c r="AL13"/>
      <c r="AM13"/>
      <c r="AN13"/>
      <c r="AO13"/>
      <c r="AP13"/>
      <c r="AQ13"/>
      <c r="AR13"/>
      <c r="AS13"/>
      <c r="AT13"/>
      <c r="AU13"/>
      <c r="AV13"/>
      <c r="AW13"/>
      <c r="AX13"/>
      <c r="AY13"/>
      <c r="AZ13"/>
      <c r="BA13"/>
      <c r="BB13" s="14"/>
    </row>
    <row r="14" spans="1:54" x14ac:dyDescent="0.35">
      <c r="A14" s="1">
        <f>IF(A13&lt;'Project Information'!B$11,A13+1,"")</f>
        <v>2039</v>
      </c>
      <c r="B14" s="22">
        <f t="shared" si="0"/>
        <v>43500</v>
      </c>
      <c r="C14" s="22">
        <f t="shared" si="1"/>
        <v>31800</v>
      </c>
      <c r="D14" s="8">
        <f t="shared" si="2"/>
        <v>-11700</v>
      </c>
      <c r="G14" s="13"/>
      <c r="H14" s="360" t="s">
        <v>1620</v>
      </c>
      <c r="I14" s="276" t="s">
        <v>1616</v>
      </c>
      <c r="J14" s="354">
        <v>2500</v>
      </c>
      <c r="K14" s="354">
        <v>2000</v>
      </c>
      <c r="L14" s="60"/>
      <c r="M14"/>
      <c r="N14" s="360" t="s">
        <v>1628</v>
      </c>
      <c r="O14" s="276" t="s">
        <v>1616</v>
      </c>
      <c r="P14" s="354"/>
      <c r="Q14" s="354">
        <v>2000</v>
      </c>
      <c r="R14" s="60"/>
      <c r="S14"/>
      <c r="T14" s="360" t="s">
        <v>1620</v>
      </c>
      <c r="U14" s="276" t="s">
        <v>1616</v>
      </c>
      <c r="V14" s="354">
        <v>5500</v>
      </c>
      <c r="W14" s="354">
        <v>2500</v>
      </c>
      <c r="X14" s="60"/>
      <c r="Y14"/>
      <c r="Z14"/>
      <c r="AA14"/>
      <c r="AB14"/>
      <c r="AC14"/>
      <c r="AD14"/>
      <c r="AE14"/>
      <c r="AF14"/>
      <c r="AG14"/>
      <c r="AH14"/>
      <c r="AI14"/>
      <c r="AJ14"/>
      <c r="AK14"/>
      <c r="AL14"/>
      <c r="AM14"/>
      <c r="AN14"/>
      <c r="AO14"/>
      <c r="AP14"/>
      <c r="AQ14"/>
      <c r="AR14"/>
      <c r="AS14"/>
      <c r="AT14"/>
      <c r="AU14"/>
      <c r="AV14"/>
      <c r="AW14"/>
      <c r="AX14"/>
      <c r="AY14"/>
      <c r="AZ14"/>
      <c r="BA14"/>
      <c r="BB14" s="14"/>
    </row>
    <row r="15" spans="1:54" x14ac:dyDescent="0.35">
      <c r="A15" s="1">
        <f>IF(A14&lt;'Project Information'!B$11,A14+1,"")</f>
        <v>2040</v>
      </c>
      <c r="B15" s="22">
        <f>SUM(J$18,P$18,V$18)+$J$21+$V$22</f>
        <v>306000</v>
      </c>
      <c r="C15" s="22">
        <f t="shared" si="1"/>
        <v>31800</v>
      </c>
      <c r="D15" s="8">
        <f t="shared" si="2"/>
        <v>-274200</v>
      </c>
      <c r="G15" s="13"/>
      <c r="H15" s="360" t="s">
        <v>1621</v>
      </c>
      <c r="I15" s="276" t="s">
        <v>1616</v>
      </c>
      <c r="J15" s="354">
        <v>2000</v>
      </c>
      <c r="K15" s="354">
        <v>500</v>
      </c>
      <c r="L15" s="60"/>
      <c r="M15"/>
      <c r="N15" s="360"/>
      <c r="O15" s="276"/>
      <c r="P15" s="354"/>
      <c r="Q15" s="354"/>
      <c r="R15" s="60"/>
      <c r="S15"/>
      <c r="T15" s="360" t="s">
        <v>1621</v>
      </c>
      <c r="U15" s="276" t="s">
        <v>1616</v>
      </c>
      <c r="V15" s="354">
        <v>3000</v>
      </c>
      <c r="W15" s="354">
        <v>1000</v>
      </c>
      <c r="X15" s="60"/>
      <c r="Y15"/>
      <c r="Z15"/>
      <c r="AA15"/>
      <c r="AB15"/>
      <c r="AC15"/>
      <c r="AD15"/>
      <c r="AE15"/>
      <c r="AF15"/>
      <c r="AG15"/>
      <c r="AH15"/>
      <c r="AI15"/>
      <c r="AJ15"/>
      <c r="AK15"/>
      <c r="AL15"/>
      <c r="AM15"/>
      <c r="AN15"/>
      <c r="AO15"/>
      <c r="AP15"/>
      <c r="AQ15"/>
      <c r="AR15"/>
      <c r="AS15"/>
      <c r="AT15"/>
      <c r="AU15"/>
      <c r="AV15"/>
      <c r="AW15"/>
      <c r="AX15"/>
      <c r="AY15"/>
      <c r="AZ15"/>
      <c r="BA15"/>
      <c r="BB15" s="14"/>
    </row>
    <row r="16" spans="1:54" x14ac:dyDescent="0.35">
      <c r="A16" s="1">
        <f>IF(A15&lt;'Project Information'!B$11,A15+1,"")</f>
        <v>2041</v>
      </c>
      <c r="B16" s="22">
        <f t="shared" si="0"/>
        <v>43500</v>
      </c>
      <c r="C16" s="22">
        <f t="shared" si="1"/>
        <v>31800</v>
      </c>
      <c r="D16" s="8">
        <f t="shared" si="2"/>
        <v>-11700</v>
      </c>
      <c r="G16" s="13"/>
      <c r="H16" s="360" t="s">
        <v>1622</v>
      </c>
      <c r="I16" s="276" t="s">
        <v>1616</v>
      </c>
      <c r="J16" s="354">
        <v>500</v>
      </c>
      <c r="K16" s="354">
        <v>200</v>
      </c>
      <c r="L16" s="60"/>
      <c r="M16"/>
      <c r="N16" s="360"/>
      <c r="O16" s="276"/>
      <c r="P16" s="354"/>
      <c r="Q16" s="354"/>
      <c r="R16" s="60"/>
      <c r="S16"/>
      <c r="T16" s="360" t="s">
        <v>1627</v>
      </c>
      <c r="U16" s="276" t="s">
        <v>1616</v>
      </c>
      <c r="V16" s="354">
        <v>2000</v>
      </c>
      <c r="W16" s="354">
        <v>800</v>
      </c>
      <c r="X16" s="60"/>
      <c r="Y16"/>
      <c r="Z16"/>
      <c r="AA16"/>
      <c r="AB16"/>
      <c r="AC16"/>
      <c r="AD16"/>
      <c r="AE16"/>
      <c r="AF16"/>
      <c r="AG16"/>
      <c r="AH16"/>
      <c r="AI16"/>
      <c r="AJ16"/>
      <c r="AK16"/>
      <c r="AL16"/>
      <c r="AM16"/>
      <c r="AN16"/>
      <c r="AO16"/>
      <c r="AP16"/>
      <c r="AQ16"/>
      <c r="AR16"/>
      <c r="AS16"/>
      <c r="AT16"/>
      <c r="AU16"/>
      <c r="AV16"/>
      <c r="AW16"/>
      <c r="AX16"/>
      <c r="AY16"/>
      <c r="AZ16"/>
      <c r="BA16"/>
      <c r="BB16" s="14"/>
    </row>
    <row r="17" spans="1:54" x14ac:dyDescent="0.35">
      <c r="A17" s="1">
        <f>IF(A16&lt;'Project Information'!B$11,A16+1,"")</f>
        <v>2042</v>
      </c>
      <c r="B17" s="22">
        <f t="shared" si="0"/>
        <v>43500</v>
      </c>
      <c r="C17" s="22">
        <f t="shared" si="1"/>
        <v>31800</v>
      </c>
      <c r="D17" s="8">
        <f t="shared" si="2"/>
        <v>-11700</v>
      </c>
      <c r="G17" s="13"/>
      <c r="H17" s="360" t="s">
        <v>1623</v>
      </c>
      <c r="I17" s="276" t="s">
        <v>1616</v>
      </c>
      <c r="J17" s="354">
        <v>5000</v>
      </c>
      <c r="K17" s="354">
        <v>5000</v>
      </c>
      <c r="L17" s="60"/>
      <c r="M17"/>
      <c r="N17" s="360"/>
      <c r="O17" s="276"/>
      <c r="P17" s="354"/>
      <c r="Q17" s="354"/>
      <c r="R17" s="60"/>
      <c r="S17"/>
      <c r="T17" s="360" t="s">
        <v>1623</v>
      </c>
      <c r="U17" s="276" t="s">
        <v>1616</v>
      </c>
      <c r="V17" s="354">
        <v>5000</v>
      </c>
      <c r="W17" s="354">
        <v>5000</v>
      </c>
      <c r="X17" s="60"/>
      <c r="Y17"/>
      <c r="Z17"/>
      <c r="AA17"/>
      <c r="AB17"/>
      <c r="AC17"/>
      <c r="AD17"/>
      <c r="AE17"/>
      <c r="AF17"/>
      <c r="AG17"/>
      <c r="AH17"/>
      <c r="AI17"/>
      <c r="AJ17"/>
      <c r="AK17"/>
      <c r="AL17"/>
      <c r="AM17"/>
      <c r="AN17"/>
      <c r="AO17"/>
      <c r="AP17"/>
      <c r="AQ17"/>
      <c r="AR17"/>
      <c r="AS17"/>
      <c r="AT17"/>
      <c r="AU17"/>
      <c r="AV17"/>
      <c r="AW17"/>
      <c r="AX17"/>
      <c r="AY17"/>
      <c r="AZ17"/>
      <c r="BA17"/>
      <c r="BB17" s="14"/>
    </row>
    <row r="18" spans="1:54" x14ac:dyDescent="0.35">
      <c r="A18" s="1">
        <f>IF(A17&lt;'Project Information'!B$11,A17+1,"")</f>
        <v>2043</v>
      </c>
      <c r="B18" s="22">
        <f t="shared" si="0"/>
        <v>43500</v>
      </c>
      <c r="C18" s="22">
        <f t="shared" si="1"/>
        <v>31800</v>
      </c>
      <c r="D18" s="8">
        <f t="shared" si="2"/>
        <v>-11700</v>
      </c>
      <c r="G18" s="13"/>
      <c r="H18" s="361" t="s">
        <v>1624</v>
      </c>
      <c r="I18" s="323"/>
      <c r="J18" s="355">
        <f>SUM(J11:J17)</f>
        <v>13000</v>
      </c>
      <c r="K18" s="355">
        <f>SUM(K11:K17)</f>
        <v>11900</v>
      </c>
      <c r="L18" s="362"/>
      <c r="M18"/>
      <c r="N18" s="361" t="s">
        <v>1624</v>
      </c>
      <c r="O18" s="323"/>
      <c r="P18" s="355">
        <f>SUM(P11:P17)</f>
        <v>12000</v>
      </c>
      <c r="Q18" s="355">
        <f>SUM(Q11:Q17)</f>
        <v>6800</v>
      </c>
      <c r="R18" s="362"/>
      <c r="S18"/>
      <c r="T18" s="361" t="s">
        <v>1624</v>
      </c>
      <c r="U18" s="323"/>
      <c r="V18" s="355">
        <f>SUM(V11:V17)</f>
        <v>18500</v>
      </c>
      <c r="W18" s="355">
        <f>SUM(W11:W17)</f>
        <v>13100</v>
      </c>
      <c r="X18" s="362"/>
      <c r="Y18"/>
      <c r="Z18"/>
      <c r="AA18"/>
      <c r="AB18"/>
      <c r="AC18"/>
      <c r="AD18"/>
      <c r="AE18"/>
      <c r="AF18"/>
      <c r="AG18"/>
      <c r="AH18"/>
      <c r="AI18"/>
      <c r="AJ18"/>
      <c r="AK18"/>
      <c r="AL18"/>
      <c r="AM18"/>
      <c r="AN18"/>
      <c r="AO18"/>
      <c r="AP18"/>
      <c r="AQ18"/>
      <c r="AR18"/>
      <c r="AS18"/>
      <c r="AT18"/>
      <c r="AU18"/>
      <c r="AV18"/>
      <c r="AW18"/>
      <c r="AX18"/>
      <c r="AY18"/>
      <c r="AZ18"/>
      <c r="BA18"/>
      <c r="BB18" s="14"/>
    </row>
    <row r="19" spans="1:54" x14ac:dyDescent="0.35">
      <c r="A19" s="1">
        <f>IF(A18&lt;'Project Information'!B$11,A18+1,"")</f>
        <v>2044</v>
      </c>
      <c r="B19" s="22">
        <f>SUM(J$18,P$18,V$18)+$V$23</f>
        <v>893500</v>
      </c>
      <c r="C19" s="22">
        <f t="shared" si="1"/>
        <v>31800</v>
      </c>
      <c r="D19" s="8">
        <f t="shared" si="2"/>
        <v>-861700</v>
      </c>
      <c r="G19" s="13"/>
      <c r="H19" s="62"/>
      <c r="I19"/>
      <c r="J19"/>
      <c r="K19"/>
      <c r="L19" s="60"/>
      <c r="M19"/>
      <c r="N19" s="62"/>
      <c r="O19"/>
      <c r="P19"/>
      <c r="Q19"/>
      <c r="R19" s="60"/>
      <c r="S19"/>
      <c r="T19" s="62"/>
      <c r="U19"/>
      <c r="V19"/>
      <c r="W19"/>
      <c r="X19" s="60"/>
      <c r="Y19"/>
      <c r="Z19"/>
      <c r="AA19"/>
      <c r="AB19"/>
      <c r="AC19"/>
      <c r="AD19"/>
      <c r="AE19"/>
      <c r="AF19"/>
      <c r="AG19"/>
      <c r="AH19"/>
      <c r="AI19"/>
      <c r="AJ19"/>
      <c r="AK19"/>
      <c r="AL19"/>
      <c r="AM19"/>
      <c r="AN19"/>
      <c r="AO19"/>
      <c r="AP19"/>
      <c r="AQ19"/>
      <c r="AR19"/>
      <c r="AS19"/>
      <c r="AT19"/>
      <c r="AU19"/>
      <c r="AV19"/>
      <c r="AW19"/>
      <c r="AX19"/>
      <c r="AY19"/>
      <c r="AZ19"/>
      <c r="BA19"/>
      <c r="BB19" s="14"/>
    </row>
    <row r="20" spans="1:54" x14ac:dyDescent="0.35">
      <c r="A20" s="1">
        <f>IF(A19&lt;'Project Information'!B$11,A19+1,"")</f>
        <v>2045</v>
      </c>
      <c r="B20" s="22">
        <f t="shared" si="0"/>
        <v>43500</v>
      </c>
      <c r="C20" s="22">
        <f>SUM(K$18,Q$18,W$18)+K22</f>
        <v>144300</v>
      </c>
      <c r="D20" s="8">
        <f t="shared" si="2"/>
        <v>100800</v>
      </c>
      <c r="G20" s="13"/>
      <c r="H20" s="357" t="s">
        <v>1625</v>
      </c>
      <c r="I20" s="358"/>
      <c r="J20" s="358"/>
      <c r="K20" s="358"/>
      <c r="L20" s="359"/>
      <c r="M20"/>
      <c r="N20" s="357" t="s">
        <v>1625</v>
      </c>
      <c r="O20" s="358"/>
      <c r="P20" s="358"/>
      <c r="Q20" s="358"/>
      <c r="R20" s="359"/>
      <c r="S20"/>
      <c r="T20" s="357" t="s">
        <v>1625</v>
      </c>
      <c r="U20" s="358"/>
      <c r="V20" s="358"/>
      <c r="W20" s="358"/>
      <c r="X20" s="359"/>
      <c r="Y20"/>
      <c r="Z20"/>
      <c r="AA20"/>
      <c r="AB20"/>
      <c r="AC20"/>
      <c r="AD20"/>
      <c r="AE20"/>
      <c r="AF20"/>
      <c r="AG20"/>
      <c r="AH20"/>
      <c r="AI20"/>
      <c r="AJ20"/>
      <c r="AK20"/>
      <c r="AL20"/>
      <c r="AM20"/>
      <c r="AN20"/>
      <c r="AO20"/>
      <c r="AP20"/>
      <c r="AQ20"/>
      <c r="AR20"/>
      <c r="AS20"/>
      <c r="AT20"/>
      <c r="AU20"/>
      <c r="AV20"/>
      <c r="AW20"/>
      <c r="AX20"/>
      <c r="AY20"/>
      <c r="AZ20"/>
      <c r="BA20"/>
      <c r="BB20" s="14"/>
    </row>
    <row r="21" spans="1:54" ht="43.5" x14ac:dyDescent="0.35">
      <c r="A21" s="1">
        <f>IF(A20&lt;'Project Information'!B$11,A20+1,"")</f>
        <v>2046</v>
      </c>
      <c r="B21" s="22">
        <f t="shared" si="0"/>
        <v>43500</v>
      </c>
      <c r="C21" s="22">
        <f t="shared" si="1"/>
        <v>31800</v>
      </c>
      <c r="D21" s="8">
        <f t="shared" si="2"/>
        <v>-11700</v>
      </c>
      <c r="G21" s="13"/>
      <c r="H21" s="360" t="s">
        <v>1626</v>
      </c>
      <c r="I21" s="230">
        <v>2040</v>
      </c>
      <c r="J21" s="368">
        <v>112500</v>
      </c>
      <c r="K21" s="368"/>
      <c r="L21" s="228"/>
      <c r="M21"/>
      <c r="N21" s="360" t="s">
        <v>1626</v>
      </c>
      <c r="O21" s="230">
        <v>2030</v>
      </c>
      <c r="P21" s="368">
        <v>200000</v>
      </c>
      <c r="Q21" s="368"/>
      <c r="R21" s="231" t="s">
        <v>1632</v>
      </c>
      <c r="S21"/>
      <c r="T21" s="360" t="s">
        <v>1626</v>
      </c>
      <c r="U21" s="230">
        <v>2029</v>
      </c>
      <c r="V21" s="368">
        <v>850000</v>
      </c>
      <c r="W21" s="354"/>
      <c r="X21" s="231" t="s">
        <v>1633</v>
      </c>
      <c r="Y21"/>
      <c r="Z21"/>
      <c r="AA21"/>
      <c r="AB21"/>
      <c r="AC21"/>
      <c r="AD21"/>
      <c r="AE21"/>
      <c r="AF21"/>
      <c r="AG21"/>
      <c r="AH21"/>
      <c r="AI21"/>
      <c r="AJ21"/>
      <c r="AK21"/>
      <c r="AL21"/>
      <c r="AM21"/>
      <c r="AN21"/>
      <c r="AO21"/>
      <c r="AP21"/>
      <c r="AQ21"/>
      <c r="AR21"/>
      <c r="AS21"/>
      <c r="AT21"/>
      <c r="AU21"/>
      <c r="AV21"/>
      <c r="AW21"/>
      <c r="AX21"/>
      <c r="AY21"/>
      <c r="AZ21"/>
      <c r="BA21"/>
      <c r="BB21" s="14"/>
    </row>
    <row r="22" spans="1:54" x14ac:dyDescent="0.35">
      <c r="A22" s="1">
        <f>IF(A21&lt;'Project Information'!B$11,A21+1,"")</f>
        <v>2047</v>
      </c>
      <c r="B22" s="22">
        <f t="shared" si="0"/>
        <v>43500</v>
      </c>
      <c r="C22" s="22">
        <f>SUM(K$18,Q$18,W$18)+$W$24</f>
        <v>881800</v>
      </c>
      <c r="D22" s="8">
        <f t="shared" si="2"/>
        <v>838300</v>
      </c>
      <c r="G22" s="13"/>
      <c r="H22" s="360" t="s">
        <v>1626</v>
      </c>
      <c r="I22" s="230">
        <v>2045</v>
      </c>
      <c r="J22" s="368"/>
      <c r="K22" s="368">
        <v>112500</v>
      </c>
      <c r="L22" s="228"/>
      <c r="M22"/>
      <c r="N22" s="360"/>
      <c r="O22" s="276"/>
      <c r="P22" s="354"/>
      <c r="Q22" s="354"/>
      <c r="R22" s="60"/>
      <c r="S22"/>
      <c r="T22" s="360" t="s">
        <v>1631</v>
      </c>
      <c r="U22" s="276">
        <v>2040</v>
      </c>
      <c r="V22" s="354">
        <v>150000</v>
      </c>
      <c r="W22" s="354"/>
      <c r="X22" s="60"/>
      <c r="Y22"/>
      <c r="Z22"/>
      <c r="AA22"/>
      <c r="AB22"/>
      <c r="AC22"/>
      <c r="AD22"/>
      <c r="AE22"/>
      <c r="AF22"/>
      <c r="AG22"/>
      <c r="AH22"/>
      <c r="AI22"/>
      <c r="AJ22"/>
      <c r="AK22"/>
      <c r="AL22"/>
      <c r="AM22"/>
      <c r="AN22"/>
      <c r="AO22"/>
      <c r="AP22"/>
      <c r="AQ22"/>
      <c r="AR22"/>
      <c r="AS22"/>
      <c r="AT22"/>
      <c r="AU22"/>
      <c r="AV22"/>
      <c r="AW22"/>
      <c r="AX22"/>
      <c r="AY22"/>
      <c r="AZ22"/>
      <c r="BA22"/>
      <c r="BB22" s="14"/>
    </row>
    <row r="23" spans="1:54" x14ac:dyDescent="0.35">
      <c r="A23" s="1">
        <f>IF(A22&lt;'Project Information'!B$11,A22+1,"")</f>
        <v>2048</v>
      </c>
      <c r="B23" s="22">
        <f t="shared" si="0"/>
        <v>43500</v>
      </c>
      <c r="C23" s="22">
        <f t="shared" si="1"/>
        <v>31800</v>
      </c>
      <c r="D23" s="8">
        <f t="shared" si="2"/>
        <v>-11700</v>
      </c>
      <c r="G23" s="13"/>
      <c r="H23" s="360"/>
      <c r="I23" s="276"/>
      <c r="J23" s="354"/>
      <c r="K23" s="354"/>
      <c r="L23" s="60"/>
      <c r="M23"/>
      <c r="N23" s="360"/>
      <c r="O23" s="276"/>
      <c r="P23" s="354"/>
      <c r="Q23" s="354"/>
      <c r="R23" s="60"/>
      <c r="S23"/>
      <c r="T23" s="360" t="s">
        <v>1626</v>
      </c>
      <c r="U23" s="276">
        <f>U21+15</f>
        <v>2044</v>
      </c>
      <c r="V23" s="354">
        <v>850000</v>
      </c>
      <c r="W23" s="354"/>
      <c r="X23" s="60"/>
      <c r="Y23"/>
      <c r="Z23"/>
      <c r="AA23"/>
      <c r="AB23"/>
      <c r="AC23"/>
      <c r="AD23"/>
      <c r="AE23"/>
      <c r="AF23"/>
      <c r="AG23"/>
      <c r="AH23"/>
      <c r="AI23"/>
      <c r="AJ23"/>
      <c r="AK23"/>
      <c r="AL23"/>
      <c r="AM23"/>
      <c r="AN23"/>
      <c r="AO23"/>
      <c r="AP23"/>
      <c r="AQ23"/>
      <c r="AR23"/>
      <c r="AS23"/>
      <c r="AT23"/>
      <c r="AU23"/>
      <c r="AV23"/>
      <c r="AW23"/>
      <c r="AX23"/>
      <c r="AY23"/>
      <c r="AZ23"/>
      <c r="BA23"/>
      <c r="BB23" s="14"/>
    </row>
    <row r="24" spans="1:54" x14ac:dyDescent="0.35">
      <c r="A24" s="1">
        <f>IF(A23&lt;'Project Information'!B$11,A23+1,"")</f>
        <v>2049</v>
      </c>
      <c r="B24" s="22">
        <f t="shared" si="0"/>
        <v>43500</v>
      </c>
      <c r="C24" s="22">
        <f t="shared" si="1"/>
        <v>31800</v>
      </c>
      <c r="D24" s="8">
        <f t="shared" si="2"/>
        <v>-11700</v>
      </c>
      <c r="G24" s="13"/>
      <c r="H24" s="360"/>
      <c r="I24" s="276"/>
      <c r="J24" s="354"/>
      <c r="K24" s="354"/>
      <c r="L24" s="60"/>
      <c r="M24"/>
      <c r="N24" s="360"/>
      <c r="O24" s="276"/>
      <c r="P24" s="354"/>
      <c r="Q24" s="354"/>
      <c r="R24" s="60"/>
      <c r="S24"/>
      <c r="T24" s="360" t="s">
        <v>1626</v>
      </c>
      <c r="U24" s="276">
        <f>2032+15</f>
        <v>2047</v>
      </c>
      <c r="V24" s="354"/>
      <c r="W24" s="354">
        <v>850000</v>
      </c>
      <c r="X24" s="60" t="s">
        <v>1634</v>
      </c>
      <c r="Y24"/>
      <c r="Z24"/>
      <c r="AA24"/>
      <c r="AB24"/>
      <c r="AC24"/>
      <c r="AD24"/>
      <c r="AE24"/>
      <c r="AF24"/>
      <c r="AG24"/>
      <c r="AH24"/>
      <c r="AI24"/>
      <c r="AJ24"/>
      <c r="AK24"/>
      <c r="AL24"/>
      <c r="AM24"/>
      <c r="AN24"/>
      <c r="AO24"/>
      <c r="AP24"/>
      <c r="AQ24"/>
      <c r="AR24"/>
      <c r="AS24"/>
      <c r="AT24"/>
      <c r="AU24"/>
      <c r="AV24"/>
      <c r="AW24"/>
      <c r="AX24"/>
      <c r="AY24"/>
      <c r="AZ24"/>
      <c r="BA24"/>
      <c r="BB24" s="14"/>
    </row>
    <row r="25" spans="1:54" x14ac:dyDescent="0.35">
      <c r="A25" s="1">
        <f>IF(A24&lt;'Project Information'!B$11,A24+1,"")</f>
        <v>2050</v>
      </c>
      <c r="B25" s="22">
        <f t="shared" si="0"/>
        <v>43500</v>
      </c>
      <c r="C25" s="22">
        <f t="shared" si="1"/>
        <v>31800</v>
      </c>
      <c r="D25" s="8">
        <f t="shared" si="2"/>
        <v>-11700</v>
      </c>
      <c r="G25" s="13"/>
      <c r="H25" s="363" t="s">
        <v>1629</v>
      </c>
      <c r="I25" s="326"/>
      <c r="J25" s="364">
        <f>SUM(J21:J24)</f>
        <v>112500</v>
      </c>
      <c r="K25" s="364">
        <f>SUM(K21:K24)</f>
        <v>112500</v>
      </c>
      <c r="L25" s="365"/>
      <c r="M25"/>
      <c r="N25" s="363" t="s">
        <v>1629</v>
      </c>
      <c r="O25" s="326"/>
      <c r="P25" s="364">
        <f>SUM(P21:P24)</f>
        <v>200000</v>
      </c>
      <c r="Q25" s="364">
        <f>SUM(Q21:Q24)</f>
        <v>0</v>
      </c>
      <c r="R25" s="365"/>
      <c r="S25"/>
      <c r="T25" s="363" t="s">
        <v>1629</v>
      </c>
      <c r="U25" s="326"/>
      <c r="V25" s="364">
        <f>SUM(V21:V24)</f>
        <v>1850000</v>
      </c>
      <c r="W25" s="364">
        <f>SUM(W21:W24)</f>
        <v>850000</v>
      </c>
      <c r="X25" s="365"/>
      <c r="Y25"/>
      <c r="Z25"/>
      <c r="AA25"/>
      <c r="AB25"/>
      <c r="AC25"/>
      <c r="AD25"/>
      <c r="AE25"/>
      <c r="AF25"/>
      <c r="AG25"/>
      <c r="AH25"/>
      <c r="AI25"/>
      <c r="AJ25"/>
      <c r="AK25"/>
      <c r="AL25"/>
      <c r="AM25"/>
      <c r="AN25"/>
      <c r="AO25"/>
      <c r="AP25"/>
      <c r="AQ25"/>
      <c r="AR25"/>
      <c r="AS25"/>
      <c r="AT25"/>
      <c r="AU25"/>
      <c r="AV25"/>
      <c r="AW25"/>
      <c r="AX25"/>
      <c r="AY25"/>
      <c r="AZ25"/>
      <c r="BA25"/>
      <c r="BB25" s="14"/>
    </row>
    <row r="26" spans="1:54" x14ac:dyDescent="0.35">
      <c r="A26" s="1">
        <f>IF(A25&lt;'Project Information'!B$11,A25+1,"")</f>
        <v>2051</v>
      </c>
      <c r="B26" s="22">
        <f t="shared" si="0"/>
        <v>43500</v>
      </c>
      <c r="C26" s="22">
        <f t="shared" si="1"/>
        <v>31800</v>
      </c>
      <c r="D26" s="8">
        <f t="shared" si="2"/>
        <v>-11700</v>
      </c>
      <c r="G26" s="13"/>
      <c r="H26" s="353"/>
      <c r="I26" s="276"/>
      <c r="J26" s="354"/>
      <c r="K26" s="354"/>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s="14"/>
    </row>
    <row r="27" spans="1:54" x14ac:dyDescent="0.35">
      <c r="A27" s="1">
        <f>IF(A26&lt;'Project Information'!B$11,A26+1,"")</f>
        <v>2052</v>
      </c>
      <c r="B27" s="22">
        <f t="shared" si="0"/>
        <v>43500</v>
      </c>
      <c r="C27" s="22">
        <f t="shared" si="1"/>
        <v>31800</v>
      </c>
      <c r="D27" s="8">
        <f t="shared" si="2"/>
        <v>-11700</v>
      </c>
      <c r="G27" s="13"/>
      <c r="H27" s="353"/>
      <c r="I27" s="276"/>
      <c r="J27" s="354"/>
      <c r="K27" s="354"/>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s="14"/>
    </row>
    <row r="28" spans="1:54" x14ac:dyDescent="0.35">
      <c r="A28" s="1" t="str">
        <f>IF(A27&lt;'Project Information'!B$11,A27+1,"")</f>
        <v/>
      </c>
      <c r="B28" s="22">
        <v>0</v>
      </c>
      <c r="C28" s="22">
        <v>0</v>
      </c>
      <c r="D28" s="8">
        <f t="shared" si="2"/>
        <v>0</v>
      </c>
      <c r="G28" s="13"/>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s="14"/>
    </row>
    <row r="29" spans="1:54" x14ac:dyDescent="0.35">
      <c r="A29" s="1" t="str">
        <f>IF(A28&lt;'Project Information'!B$11,A28+1,"")</f>
        <v/>
      </c>
      <c r="B29" s="22">
        <v>0</v>
      </c>
      <c r="C29" s="22">
        <v>0</v>
      </c>
      <c r="D29" s="8">
        <f t="shared" si="2"/>
        <v>0</v>
      </c>
      <c r="G29" s="13"/>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s="14"/>
    </row>
    <row r="30" spans="1:54" x14ac:dyDescent="0.35">
      <c r="A30" s="1" t="str">
        <f>IF(A29&lt;'Project Information'!B$11,A29+1,"")</f>
        <v/>
      </c>
      <c r="B30" s="22">
        <v>0</v>
      </c>
      <c r="C30" s="22">
        <v>0</v>
      </c>
      <c r="D30" s="8">
        <f t="shared" si="2"/>
        <v>0</v>
      </c>
      <c r="G30" s="13"/>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s="14"/>
    </row>
    <row r="31" spans="1:54" x14ac:dyDescent="0.35">
      <c r="A31" s="1" t="str">
        <f>IF(A30&lt;'Project Information'!B$11,A30+1,"")</f>
        <v/>
      </c>
      <c r="B31" s="22">
        <v>0</v>
      </c>
      <c r="C31" s="22">
        <v>0</v>
      </c>
      <c r="D31" s="8">
        <f t="shared" si="2"/>
        <v>0</v>
      </c>
      <c r="G31" s="1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s="14"/>
    </row>
    <row r="32" spans="1:54" x14ac:dyDescent="0.35">
      <c r="A32" s="1" t="str">
        <f>IF(A31&lt;'Project Information'!B$11,A31+1,"")</f>
        <v/>
      </c>
      <c r="B32" s="22">
        <v>0</v>
      </c>
      <c r="C32" s="22">
        <v>0</v>
      </c>
      <c r="D32" s="8">
        <f t="shared" si="2"/>
        <v>0</v>
      </c>
      <c r="G32" s="13"/>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s="14"/>
    </row>
    <row r="33" spans="1:54" x14ac:dyDescent="0.35">
      <c r="A33" s="1" t="str">
        <f>IF(A32&lt;'Project Information'!B$11,A32+1,"")</f>
        <v/>
      </c>
      <c r="B33" s="22">
        <v>0</v>
      </c>
      <c r="C33" s="22">
        <v>0</v>
      </c>
      <c r="D33" s="8">
        <f t="shared" si="2"/>
        <v>0</v>
      </c>
      <c r="G33" s="1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s="14"/>
    </row>
    <row r="34" spans="1:54" x14ac:dyDescent="0.35">
      <c r="A34" s="1" t="str">
        <f>IF(A33&lt;'Project Information'!B$11,A33+1,"")</f>
        <v/>
      </c>
      <c r="B34" s="22">
        <v>0</v>
      </c>
      <c r="C34" s="22">
        <v>0</v>
      </c>
      <c r="D34" s="8">
        <f t="shared" si="2"/>
        <v>0</v>
      </c>
      <c r="G34" s="13"/>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s="14"/>
    </row>
    <row r="35" spans="1:54" x14ac:dyDescent="0.35">
      <c r="A35" s="1" t="str">
        <f>IF(A34&lt;'Project Information'!B$11,A34+1,"")</f>
        <v/>
      </c>
      <c r="B35" s="22">
        <v>0</v>
      </c>
      <c r="C35" s="22">
        <v>0</v>
      </c>
      <c r="D35" s="8">
        <f t="shared" si="2"/>
        <v>0</v>
      </c>
      <c r="G35" s="13"/>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s="14"/>
    </row>
    <row r="36" spans="1:54" x14ac:dyDescent="0.35">
      <c r="A36" s="1" t="str">
        <f>IF(A35&lt;'Project Information'!B$11,A35+1,"")</f>
        <v/>
      </c>
      <c r="B36" s="22">
        <v>0</v>
      </c>
      <c r="C36" s="22">
        <v>0</v>
      </c>
      <c r="D36" s="8">
        <f t="shared" si="2"/>
        <v>0</v>
      </c>
      <c r="G36" s="13"/>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s="14"/>
    </row>
    <row r="37" spans="1:54" x14ac:dyDescent="0.35">
      <c r="A37" s="1" t="str">
        <f>IF(A36&lt;'Project Information'!B$11,A36+1,"")</f>
        <v/>
      </c>
      <c r="B37" s="22">
        <v>0</v>
      </c>
      <c r="C37" s="22">
        <v>0</v>
      </c>
      <c r="D37" s="8">
        <f t="shared" si="2"/>
        <v>0</v>
      </c>
      <c r="G37" s="13"/>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s="14"/>
    </row>
    <row r="38" spans="1:54" x14ac:dyDescent="0.35">
      <c r="A38" s="31"/>
      <c r="B38" s="32"/>
      <c r="C38" s="32"/>
      <c r="D38" s="33"/>
      <c r="G38" s="13"/>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s="14"/>
    </row>
    <row r="39" spans="1:54" x14ac:dyDescent="0.35">
      <c r="B39" s="28"/>
      <c r="C39" s="28"/>
      <c r="D39" s="29"/>
      <c r="G39" s="13"/>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s="14"/>
    </row>
    <row r="40" spans="1:54" x14ac:dyDescent="0.35">
      <c r="B40" s="28"/>
      <c r="C40" s="28"/>
      <c r="D40" s="29"/>
      <c r="G40" s="13"/>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s="14"/>
    </row>
    <row r="41" spans="1:54" x14ac:dyDescent="0.35">
      <c r="B41" s="28"/>
      <c r="C41" s="28"/>
      <c r="D41" s="29"/>
      <c r="G41" s="13"/>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s="14"/>
    </row>
    <row r="42" spans="1:54" x14ac:dyDescent="0.35">
      <c r="B42" s="28"/>
      <c r="C42" s="28"/>
      <c r="D42" s="29"/>
      <c r="G42" s="13"/>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s="14"/>
    </row>
    <row r="43" spans="1:54" x14ac:dyDescent="0.35">
      <c r="B43" s="28"/>
      <c r="C43" s="28"/>
      <c r="D43" s="29"/>
      <c r="G43" s="1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s="14"/>
    </row>
    <row r="44" spans="1:54" x14ac:dyDescent="0.35">
      <c r="B44" s="28"/>
      <c r="C44" s="28"/>
      <c r="D44" s="29"/>
      <c r="G44" s="13"/>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s="14"/>
    </row>
    <row r="45" spans="1:54" x14ac:dyDescent="0.35">
      <c r="B45" s="28"/>
      <c r="C45" s="28"/>
      <c r="D45" s="29"/>
      <c r="G45" s="13"/>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s="14"/>
    </row>
    <row r="46" spans="1:54" x14ac:dyDescent="0.35">
      <c r="B46" s="28"/>
      <c r="C46" s="28"/>
      <c r="D46" s="29"/>
      <c r="G46" s="13"/>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s="14"/>
    </row>
    <row r="47" spans="1:54" x14ac:dyDescent="0.35">
      <c r="B47" s="28"/>
      <c r="C47" s="28"/>
      <c r="D47" s="29"/>
      <c r="G47" s="13"/>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s="14"/>
    </row>
    <row r="48" spans="1:54" x14ac:dyDescent="0.35">
      <c r="G48" s="13"/>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s="14"/>
    </row>
    <row r="49" spans="7:54" x14ac:dyDescent="0.35">
      <c r="G49" s="13"/>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s="14"/>
    </row>
    <row r="50" spans="7:54" x14ac:dyDescent="0.35">
      <c r="G50" s="13"/>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s="14"/>
    </row>
    <row r="51" spans="7:54" x14ac:dyDescent="0.35">
      <c r="G51" s="13"/>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s="14"/>
    </row>
    <row r="52" spans="7:54" x14ac:dyDescent="0.35">
      <c r="G52" s="13"/>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s="14"/>
    </row>
    <row r="53" spans="7:54" x14ac:dyDescent="0.35">
      <c r="G53" s="1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s="14"/>
    </row>
    <row r="54" spans="7:54" x14ac:dyDescent="0.35">
      <c r="G54" s="13"/>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s="14"/>
    </row>
    <row r="55" spans="7:54" x14ac:dyDescent="0.35">
      <c r="G55" s="13"/>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s="14"/>
    </row>
    <row r="56" spans="7:54" x14ac:dyDescent="0.35">
      <c r="G56" s="13"/>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s="14"/>
    </row>
    <row r="57" spans="7:54" x14ac:dyDescent="0.35">
      <c r="G57" s="13"/>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s="14"/>
    </row>
    <row r="58" spans="7:54" x14ac:dyDescent="0.35">
      <c r="G58" s="13"/>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s="14"/>
    </row>
    <row r="59" spans="7:54" x14ac:dyDescent="0.35">
      <c r="G59" s="13"/>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s="14"/>
    </row>
    <row r="60" spans="7:54" x14ac:dyDescent="0.35">
      <c r="G60" s="13"/>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s="14"/>
    </row>
    <row r="61" spans="7:54" x14ac:dyDescent="0.35">
      <c r="G61" s="13"/>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s="14"/>
    </row>
    <row r="62" spans="7:54" x14ac:dyDescent="0.35">
      <c r="G62" s="13"/>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s="14"/>
    </row>
    <row r="63" spans="7:54" x14ac:dyDescent="0.35">
      <c r="G63" s="1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s="14"/>
    </row>
    <row r="64" spans="7:54" x14ac:dyDescent="0.35">
      <c r="G64" s="13"/>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s="14"/>
    </row>
    <row r="65" spans="7:54" x14ac:dyDescent="0.35">
      <c r="G65" s="13"/>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s="14"/>
    </row>
    <row r="66" spans="7:54" x14ac:dyDescent="0.35">
      <c r="G66" s="13"/>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s="14"/>
    </row>
    <row r="67" spans="7:54" x14ac:dyDescent="0.35">
      <c r="G67" s="13"/>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s="14"/>
    </row>
    <row r="68" spans="7:54" x14ac:dyDescent="0.35">
      <c r="G68" s="13"/>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s="14"/>
    </row>
    <row r="69" spans="7:54" x14ac:dyDescent="0.35">
      <c r="G69" s="13"/>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s="14"/>
    </row>
    <row r="70" spans="7:54" x14ac:dyDescent="0.35">
      <c r="G70" s="13"/>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s="14"/>
    </row>
    <row r="71" spans="7:54" x14ac:dyDescent="0.35">
      <c r="G71" s="13"/>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s="14"/>
    </row>
    <row r="72" spans="7:54" x14ac:dyDescent="0.35">
      <c r="G72" s="13"/>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s="14"/>
    </row>
    <row r="73" spans="7:54" x14ac:dyDescent="0.35">
      <c r="G73" s="1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s="14"/>
    </row>
    <row r="74" spans="7:54" x14ac:dyDescent="0.35">
      <c r="G74" s="13"/>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s="14"/>
    </row>
    <row r="75" spans="7:54" x14ac:dyDescent="0.35">
      <c r="G75" s="13"/>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s="14"/>
    </row>
    <row r="76" spans="7:54" x14ac:dyDescent="0.35">
      <c r="G76" s="13"/>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s="14"/>
    </row>
    <row r="77" spans="7:54" x14ac:dyDescent="0.35">
      <c r="G77" s="13"/>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s="14"/>
    </row>
    <row r="78" spans="7:54" x14ac:dyDescent="0.35">
      <c r="G78" s="13"/>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s="14"/>
    </row>
    <row r="79" spans="7:54" x14ac:dyDescent="0.35">
      <c r="G79" s="13"/>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s="14"/>
    </row>
    <row r="80" spans="7:54" x14ac:dyDescent="0.35">
      <c r="G80" s="13"/>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s="14"/>
    </row>
    <row r="81" spans="7:54" x14ac:dyDescent="0.35">
      <c r="G81" s="13"/>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s="14"/>
    </row>
    <row r="82" spans="7:54" x14ac:dyDescent="0.35">
      <c r="G82" s="13"/>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s="14"/>
    </row>
    <row r="83" spans="7:54" x14ac:dyDescent="0.35">
      <c r="G83" s="1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s="14"/>
    </row>
    <row r="84" spans="7:54" x14ac:dyDescent="0.35">
      <c r="G84" s="13"/>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s="14"/>
    </row>
    <row r="85" spans="7:54" x14ac:dyDescent="0.35">
      <c r="G85" s="13"/>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s="14"/>
    </row>
    <row r="86" spans="7:54" x14ac:dyDescent="0.35">
      <c r="G86" s="13"/>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s="14"/>
    </row>
    <row r="87" spans="7:54" x14ac:dyDescent="0.35">
      <c r="G87" s="13"/>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s="14"/>
    </row>
    <row r="88" spans="7:54" x14ac:dyDescent="0.35">
      <c r="G88" s="13"/>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s="14"/>
    </row>
    <row r="89" spans="7:54" x14ac:dyDescent="0.35">
      <c r="G89" s="13"/>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s="14"/>
    </row>
    <row r="90" spans="7:54" x14ac:dyDescent="0.35">
      <c r="G90" s="13"/>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s="14"/>
    </row>
    <row r="91" spans="7:54" x14ac:dyDescent="0.35">
      <c r="G91" s="13"/>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s="14"/>
    </row>
    <row r="92" spans="7:54" x14ac:dyDescent="0.35">
      <c r="G92" s="13"/>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s="14"/>
    </row>
    <row r="93" spans="7:54" x14ac:dyDescent="0.35">
      <c r="G93" s="1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s="14"/>
    </row>
    <row r="94" spans="7:54" x14ac:dyDescent="0.35">
      <c r="G94" s="13"/>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s="14"/>
    </row>
    <row r="95" spans="7:54" x14ac:dyDescent="0.35">
      <c r="G95" s="13"/>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s="14"/>
    </row>
    <row r="96" spans="7:54" x14ac:dyDescent="0.35">
      <c r="G96" s="13"/>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s="14"/>
    </row>
    <row r="97" spans="7:54" ht="15" thickBot="1" x14ac:dyDescent="0.4">
      <c r="G97" s="15"/>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7"/>
    </row>
  </sheetData>
  <conditionalFormatting sqref="B8:B37">
    <cfRule type="expression" dxfId="18" priority="3">
      <formula>A8=""</formula>
    </cfRule>
  </conditionalFormatting>
  <conditionalFormatting sqref="C8:C27">
    <cfRule type="expression" dxfId="17" priority="1">
      <formula>B8=""</formula>
    </cfRule>
  </conditionalFormatting>
  <conditionalFormatting sqref="C9:C37">
    <cfRule type="expression" dxfId="16" priority="2">
      <formula>A9=""</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ED40-5564-4F69-B498-62F7E290D6B9}">
  <sheetPr>
    <tabColor theme="9" tint="0.39997558519241921"/>
  </sheetPr>
  <dimension ref="A1:BC111"/>
  <sheetViews>
    <sheetView workbookViewId="0">
      <selection activeCell="A13" sqref="A13"/>
    </sheetView>
  </sheetViews>
  <sheetFormatPr defaultColWidth="9.1796875" defaultRowHeight="14.5" x14ac:dyDescent="0.35"/>
  <cols>
    <col min="1" max="1" width="38.453125" style="5" customWidth="1"/>
    <col min="2" max="2" width="25.26953125" style="5" customWidth="1"/>
    <col min="3" max="3" width="32.54296875" style="5" customWidth="1"/>
    <col min="4" max="4" width="22.7265625" style="5" customWidth="1"/>
    <col min="5" max="7" width="9.1796875" style="5"/>
    <col min="8" max="8" width="11.36328125" style="5" bestFit="1" customWidth="1"/>
    <col min="9" max="9" width="17" style="5" customWidth="1"/>
    <col min="10" max="10" width="13.36328125" style="5" customWidth="1"/>
    <col min="11" max="11" width="1.6328125" style="5" customWidth="1"/>
    <col min="12" max="12" width="5.90625" style="5" bestFit="1" customWidth="1"/>
    <col min="13" max="13" width="1.6328125" style="5" customWidth="1"/>
    <col min="14" max="14" width="11.08984375" style="5" bestFit="1" customWidth="1"/>
    <col min="15" max="15" width="12.90625" style="5" customWidth="1"/>
    <col min="16" max="16" width="9.1796875" style="5"/>
    <col min="17" max="17" width="11.36328125" style="5" bestFit="1" customWidth="1"/>
    <col min="18" max="18" width="17" style="5" customWidth="1"/>
    <col min="19" max="19" width="13.36328125" style="5" customWidth="1"/>
    <col min="20" max="20" width="1.6328125" style="5" customWidth="1"/>
    <col min="21" max="21" width="5.90625" style="5" bestFit="1" customWidth="1"/>
    <col min="22" max="22" width="1.6328125" style="5" customWidth="1"/>
    <col min="23" max="23" width="11.08984375" style="5" bestFit="1" customWidth="1"/>
    <col min="24" max="24" width="12.90625" style="5" customWidth="1"/>
    <col min="25" max="25" width="9.1796875" style="5"/>
    <col min="26" max="26" width="11.36328125" style="5" bestFit="1" customWidth="1"/>
    <col min="27" max="27" width="17" style="5" customWidth="1"/>
    <col min="28" max="28" width="13.36328125" style="5" customWidth="1"/>
    <col min="29" max="29" width="1.6328125" style="5" customWidth="1"/>
    <col min="30" max="30" width="5.90625" style="5" bestFit="1" customWidth="1"/>
    <col min="31" max="31" width="1.6328125" style="5" customWidth="1"/>
    <col min="32" max="32" width="11.08984375" style="5" bestFit="1" customWidth="1"/>
    <col min="33" max="33" width="12.90625" style="5" customWidth="1"/>
    <col min="34" max="34" width="2.6328125" style="5" customWidth="1"/>
    <col min="35" max="16384" width="9.1796875" style="5"/>
  </cols>
  <sheetData>
    <row r="1" spans="1:27" ht="20" thickBot="1" x14ac:dyDescent="0.5">
      <c r="A1" s="94" t="s">
        <v>8</v>
      </c>
    </row>
    <row r="2" spans="1:27" ht="15" thickTop="1" x14ac:dyDescent="0.35">
      <c r="A2" s="144" t="s">
        <v>237</v>
      </c>
      <c r="B2" s="144"/>
      <c r="C2" s="144"/>
      <c r="D2" s="144"/>
      <c r="E2" s="144"/>
      <c r="F2" s="144"/>
    </row>
    <row r="3" spans="1:27" x14ac:dyDescent="0.35">
      <c r="A3" s="5" t="s">
        <v>203</v>
      </c>
    </row>
    <row r="4" spans="1:27" x14ac:dyDescent="0.35">
      <c r="A4" s="145" t="s">
        <v>344</v>
      </c>
      <c r="B4" s="144"/>
      <c r="C4" s="144"/>
      <c r="D4" s="144"/>
      <c r="E4" s="144"/>
      <c r="F4" s="144"/>
      <c r="G4" s="144"/>
      <c r="H4" s="144"/>
      <c r="I4" s="144"/>
      <c r="R4" s="144"/>
      <c r="AA4" s="144"/>
    </row>
    <row r="5" spans="1:27" x14ac:dyDescent="0.35">
      <c r="A5" s="38" t="s">
        <v>203</v>
      </c>
    </row>
    <row r="6" spans="1:27" x14ac:dyDescent="0.35">
      <c r="A6" s="95" t="s">
        <v>238</v>
      </c>
    </row>
    <row r="7" spans="1:27" x14ac:dyDescent="0.35">
      <c r="A7" s="113" t="s">
        <v>20</v>
      </c>
      <c r="B7" s="113" t="str">
        <f>'Parameter Values'!B6</f>
        <v>Monetized Value (2024 $)</v>
      </c>
    </row>
    <row r="8" spans="1:27" x14ac:dyDescent="0.35">
      <c r="A8" s="35" t="s">
        <v>21</v>
      </c>
      <c r="B8" s="40">
        <f>'Parameter Values'!B7</f>
        <v>5500</v>
      </c>
    </row>
    <row r="9" spans="1:27" x14ac:dyDescent="0.35">
      <c r="A9" s="35" t="s">
        <v>22</v>
      </c>
      <c r="B9" s="40">
        <f>'Parameter Values'!B8</f>
        <v>122400</v>
      </c>
    </row>
    <row r="10" spans="1:27" x14ac:dyDescent="0.35">
      <c r="A10" s="35" t="s">
        <v>23</v>
      </c>
      <c r="B10" s="40">
        <f>'Parameter Values'!B9</f>
        <v>256300</v>
      </c>
    </row>
    <row r="11" spans="1:27" x14ac:dyDescent="0.35">
      <c r="A11" s="35" t="s">
        <v>24</v>
      </c>
      <c r="B11" s="400">
        <f>'Parameter Values'!B10</f>
        <v>1302300</v>
      </c>
    </row>
    <row r="12" spans="1:27" x14ac:dyDescent="0.35">
      <c r="A12" s="35" t="s">
        <v>25</v>
      </c>
      <c r="B12" s="40">
        <f>'Parameter Values'!B11</f>
        <v>13700000</v>
      </c>
    </row>
    <row r="13" spans="1:27" x14ac:dyDescent="0.35">
      <c r="A13" s="35" t="s">
        <v>26</v>
      </c>
      <c r="B13" s="40">
        <f>'Parameter Values'!B12</f>
        <v>238500</v>
      </c>
    </row>
    <row r="14" spans="1:27" x14ac:dyDescent="0.35">
      <c r="A14" s="123" t="s">
        <v>203</v>
      </c>
      <c r="B14" s="124"/>
    </row>
    <row r="15" spans="1:27" x14ac:dyDescent="0.35">
      <c r="A15" s="35" t="s">
        <v>27</v>
      </c>
    </row>
    <row r="16" spans="1:27" x14ac:dyDescent="0.35">
      <c r="A16" s="35" t="s">
        <v>259</v>
      </c>
      <c r="B16" s="40">
        <f>'Parameter Values'!B15</f>
        <v>9700</v>
      </c>
    </row>
    <row r="17" spans="1:55" x14ac:dyDescent="0.35">
      <c r="A17" s="35" t="s">
        <v>28</v>
      </c>
      <c r="B17" s="40">
        <f>'Parameter Values'!B16</f>
        <v>342400</v>
      </c>
    </row>
    <row r="18" spans="1:55" x14ac:dyDescent="0.35">
      <c r="A18" s="35" t="s">
        <v>29</v>
      </c>
      <c r="B18" s="40">
        <f>'Parameter Values'!B17</f>
        <v>15366900</v>
      </c>
    </row>
    <row r="19" spans="1:55" x14ac:dyDescent="0.35">
      <c r="A19" s="5" t="s">
        <v>203</v>
      </c>
    </row>
    <row r="20" spans="1:55" ht="15" thickBot="1" x14ac:dyDescent="0.4">
      <c r="A20" s="95" t="s">
        <v>239</v>
      </c>
    </row>
    <row r="21" spans="1:55" x14ac:dyDescent="0.35">
      <c r="A21" s="104" t="s">
        <v>4</v>
      </c>
      <c r="B21" s="105" t="s">
        <v>171</v>
      </c>
      <c r="C21" s="105" t="s">
        <v>172</v>
      </c>
      <c r="D21" s="111" t="s">
        <v>166</v>
      </c>
      <c r="G21" s="10" t="s">
        <v>159</v>
      </c>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2"/>
    </row>
    <row r="22" spans="1:55" x14ac:dyDescent="0.35">
      <c r="A22" s="6">
        <f>'Project Information'!$B$9</f>
        <v>2033</v>
      </c>
      <c r="B22" s="22">
        <f>SUM(J33,S33,AB33)</f>
        <v>2475808.3333333335</v>
      </c>
      <c r="C22" s="22">
        <f>O33</f>
        <v>280875</v>
      </c>
      <c r="D22" s="26">
        <f>B22-C22</f>
        <v>2194933.3333333335</v>
      </c>
      <c r="E22" s="340"/>
      <c r="G22" s="13"/>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s="14"/>
    </row>
    <row r="23" spans="1:55" x14ac:dyDescent="0.35">
      <c r="A23" s="1">
        <f>IF(A22&lt;'Project Information'!B$11,A22+1,"")</f>
        <v>2034</v>
      </c>
      <c r="B23" s="22">
        <f>B22*(1+(Inputs!D$7/'Project Information'!$B$10))</f>
        <v>2476217.9810410207</v>
      </c>
      <c r="C23" s="22">
        <f>C22*(1+(Inputs!E$7/'Project Information'!$B$10))</f>
        <v>280921.47362978285</v>
      </c>
      <c r="D23" s="8">
        <f t="shared" ref="D23:D51" si="0">B23-C23</f>
        <v>2195296.5074112378</v>
      </c>
      <c r="E23" s="340"/>
      <c r="G23" s="13"/>
      <c r="H23" s="297" t="s">
        <v>1598</v>
      </c>
      <c r="I23" s="298"/>
      <c r="J23" s="298"/>
      <c r="K23" s="298"/>
      <c r="L23" s="298"/>
      <c r="M23" s="298"/>
      <c r="N23" s="298"/>
      <c r="O23" s="299"/>
      <c r="P23"/>
      <c r="Q23" s="297" t="s">
        <v>1558</v>
      </c>
      <c r="R23" s="298"/>
      <c r="S23" s="298"/>
      <c r="T23" s="298"/>
      <c r="U23" s="298"/>
      <c r="V23" s="298"/>
      <c r="W23" s="298"/>
      <c r="X23" s="299"/>
      <c r="Y23"/>
      <c r="Z23" s="297" t="s">
        <v>1559</v>
      </c>
      <c r="AA23" s="298"/>
      <c r="AB23" s="298"/>
      <c r="AC23" s="298"/>
      <c r="AD23" s="298"/>
      <c r="AE23" s="298"/>
      <c r="AF23" s="298"/>
      <c r="AG23" s="299"/>
      <c r="AH23"/>
      <c r="AI23"/>
      <c r="AJ23"/>
      <c r="AK23"/>
      <c r="AL23"/>
      <c r="AM23"/>
      <c r="AN23"/>
      <c r="AO23"/>
      <c r="AP23"/>
      <c r="AQ23"/>
      <c r="AR23"/>
      <c r="AS23"/>
      <c r="AT23"/>
      <c r="AU23"/>
      <c r="AV23"/>
      <c r="AW23"/>
      <c r="AX23"/>
      <c r="AY23"/>
      <c r="AZ23"/>
      <c r="BA23"/>
      <c r="BB23"/>
      <c r="BC23" s="14"/>
    </row>
    <row r="24" spans="1:55" x14ac:dyDescent="0.35">
      <c r="A24" s="1">
        <f>IF(A23&lt;'Project Information'!B$11,A23+1,"")</f>
        <v>2035</v>
      </c>
      <c r="B24" s="22">
        <f>B23*(1+(Inputs!D$7/'Project Information'!$B$10))</f>
        <v>2476627.6965290937</v>
      </c>
      <c r="C24" s="22">
        <f>C23*(1+(Inputs!E$7/'Project Information'!$B$10))</f>
        <v>280967.95494910114</v>
      </c>
      <c r="D24" s="8">
        <f t="shared" si="0"/>
        <v>2195659.7415799927</v>
      </c>
      <c r="G24" s="13"/>
      <c r="H24" s="295"/>
      <c r="I24" s="301" t="s">
        <v>1507</v>
      </c>
      <c r="J24" s="300"/>
      <c r="L24" s="327"/>
      <c r="M24"/>
      <c r="N24" s="338" t="s">
        <v>1508</v>
      </c>
      <c r="O24" s="339"/>
      <c r="P24"/>
      <c r="Q24" s="295"/>
      <c r="R24" s="301" t="s">
        <v>1507</v>
      </c>
      <c r="S24" s="300"/>
      <c r="U24" s="327"/>
      <c r="V24"/>
      <c r="W24" s="338" t="s">
        <v>1508</v>
      </c>
      <c r="X24" s="339"/>
      <c r="Y24"/>
      <c r="Z24" s="295"/>
      <c r="AA24" s="301" t="s">
        <v>1507</v>
      </c>
      <c r="AB24" s="300"/>
      <c r="AD24" s="327"/>
      <c r="AE24"/>
      <c r="AF24" s="338" t="s">
        <v>1508</v>
      </c>
      <c r="AG24" s="339"/>
      <c r="AH24"/>
      <c r="AI24"/>
      <c r="AJ24"/>
      <c r="AK24"/>
      <c r="AL24"/>
      <c r="AM24"/>
      <c r="AN24"/>
      <c r="AO24"/>
      <c r="AP24"/>
      <c r="AQ24"/>
      <c r="AR24"/>
      <c r="AS24"/>
      <c r="AT24"/>
      <c r="AU24"/>
      <c r="AV24"/>
      <c r="AW24"/>
      <c r="AX24"/>
      <c r="AY24"/>
      <c r="AZ24"/>
      <c r="BA24"/>
      <c r="BB24"/>
      <c r="BC24" s="14"/>
    </row>
    <row r="25" spans="1:55" ht="43.5" x14ac:dyDescent="0.35">
      <c r="A25" s="1">
        <f>IF(A24&lt;'Project Information'!B$11,A24+1,"")</f>
        <v>2036</v>
      </c>
      <c r="B25" s="22">
        <f>B24*(1+(Inputs!D$7/'Project Information'!$B$10))</f>
        <v>2477037.4798087678</v>
      </c>
      <c r="C25" s="22">
        <f>C24*(1+(Inputs!E$7/'Project Information'!$B$10))</f>
        <v>281014.44395922718</v>
      </c>
      <c r="D25" s="8">
        <f t="shared" si="0"/>
        <v>2196023.0358495405</v>
      </c>
      <c r="G25" s="13"/>
      <c r="H25" s="305" t="s">
        <v>20</v>
      </c>
      <c r="I25" s="306" t="s">
        <v>1522</v>
      </c>
      <c r="J25" s="307" t="s">
        <v>327</v>
      </c>
      <c r="L25" s="328" t="s">
        <v>1509</v>
      </c>
      <c r="M25"/>
      <c r="N25" s="332" t="s">
        <v>1550</v>
      </c>
      <c r="O25" s="307" t="s">
        <v>1551</v>
      </c>
      <c r="P25" s="226"/>
      <c r="Q25" s="305" t="s">
        <v>20</v>
      </c>
      <c r="R25" s="306" t="s">
        <v>1522</v>
      </c>
      <c r="S25" s="307" t="s">
        <v>327</v>
      </c>
      <c r="U25" s="328" t="s">
        <v>1509</v>
      </c>
      <c r="V25"/>
      <c r="W25" s="332" t="s">
        <v>1550</v>
      </c>
      <c r="X25" s="307" t="s">
        <v>1551</v>
      </c>
      <c r="Y25"/>
      <c r="Z25" s="305" t="s">
        <v>20</v>
      </c>
      <c r="AA25" s="306" t="s">
        <v>1522</v>
      </c>
      <c r="AB25" s="307" t="s">
        <v>327</v>
      </c>
      <c r="AD25" s="328" t="s">
        <v>1509</v>
      </c>
      <c r="AE25"/>
      <c r="AF25" s="332" t="s">
        <v>1550</v>
      </c>
      <c r="AG25" s="307" t="s">
        <v>1551</v>
      </c>
      <c r="AH25"/>
      <c r="AI25"/>
      <c r="AJ25"/>
      <c r="AK25"/>
      <c r="AL25"/>
      <c r="AM25"/>
      <c r="AN25"/>
      <c r="AO25"/>
      <c r="AP25"/>
      <c r="AQ25"/>
      <c r="AR25"/>
      <c r="AS25"/>
      <c r="AT25"/>
      <c r="AU25"/>
      <c r="AV25"/>
      <c r="AW25"/>
      <c r="AX25"/>
      <c r="AY25"/>
      <c r="AZ25"/>
      <c r="BA25"/>
      <c r="BB25"/>
      <c r="BC25" s="14"/>
    </row>
    <row r="26" spans="1:55" x14ac:dyDescent="0.35">
      <c r="A26" s="1">
        <f>IF(A25&lt;'Project Information'!B$11,A25+1,"")</f>
        <v>2037</v>
      </c>
      <c r="B26" s="22">
        <f>B25*(1+(Inputs!D$7/'Project Information'!$B$10))</f>
        <v>2477447.3308912595</v>
      </c>
      <c r="C26" s="22">
        <f>C25*(1+(Inputs!E$7/'Project Information'!$B$10))</f>
        <v>281060.94066143344</v>
      </c>
      <c r="D26" s="8">
        <f t="shared" si="0"/>
        <v>2196386.3902298259</v>
      </c>
      <c r="G26" s="13"/>
      <c r="H26" s="229" t="s">
        <v>1510</v>
      </c>
      <c r="I26" s="322">
        <f>CrashData_Summary_by_FocusArea!$F$15/2</f>
        <v>16.625</v>
      </c>
      <c r="J26" s="302">
        <f t="shared" ref="J26:J31" si="1">I26*$B8</f>
        <v>91437.5</v>
      </c>
      <c r="L26" s="420">
        <f>CMFs_by_FocusArea!$C$12</f>
        <v>0.57199999999999995</v>
      </c>
      <c r="M26"/>
      <c r="N26" s="331">
        <f t="shared" ref="N26:N32" si="2">I26*(1-L26)</f>
        <v>7.1155000000000008</v>
      </c>
      <c r="O26" s="302">
        <f t="shared" ref="O26:O31" si="3">N26*$B8</f>
        <v>39135.250000000007</v>
      </c>
      <c r="P26" s="226"/>
      <c r="Q26" s="229" t="s">
        <v>1510</v>
      </c>
      <c r="R26" s="322">
        <f>CrashData_Summary_by_FocusArea!$M$15/2</f>
        <v>1.4166666666666667</v>
      </c>
      <c r="S26" s="302">
        <f t="shared" ref="S26:S31" si="4">R26*$B8</f>
        <v>7791.666666666667</v>
      </c>
      <c r="U26" s="420">
        <f>CMFs_by_FocusArea!$C$17</f>
        <v>0.52949999999999997</v>
      </c>
      <c r="V26"/>
      <c r="W26" s="343">
        <f t="shared" ref="W26:W32" si="5">R26*(1-U26)</f>
        <v>0.6665416666666667</v>
      </c>
      <c r="X26" s="302">
        <f t="shared" ref="X26:X31" si="6">W26*$B8</f>
        <v>3665.979166666667</v>
      </c>
      <c r="Y26"/>
      <c r="Z26" s="229" t="s">
        <v>1510</v>
      </c>
      <c r="AA26" s="322">
        <f>CrashData_Summary_by_FocusArea!$T$15/2</f>
        <v>24.5625</v>
      </c>
      <c r="AB26" s="302">
        <f t="shared" ref="AB26:AB31" si="7">AA26*$B8</f>
        <v>135093.75</v>
      </c>
      <c r="AD26" s="420">
        <f>CMFs_by_FocusArea!$C$29</f>
        <v>0.67500000000000004</v>
      </c>
      <c r="AE26"/>
      <c r="AF26" s="343">
        <f t="shared" ref="AF26:AF32" si="8">AA26*(1-AD26)</f>
        <v>7.9828124999999988</v>
      </c>
      <c r="AG26" s="302">
        <f t="shared" ref="AG26:AG31" si="9">AF26*$B8</f>
        <v>43905.468749999993</v>
      </c>
      <c r="AH26"/>
      <c r="AI26" t="s">
        <v>1694</v>
      </c>
      <c r="AJ26"/>
      <c r="AK26"/>
      <c r="AL26"/>
      <c r="AM26"/>
      <c r="AN26"/>
      <c r="AO26"/>
      <c r="AP26"/>
      <c r="AQ26"/>
      <c r="AR26"/>
      <c r="AS26"/>
      <c r="AT26"/>
      <c r="AU26"/>
      <c r="AV26"/>
      <c r="AW26"/>
      <c r="AX26"/>
      <c r="AY26"/>
      <c r="AZ26"/>
      <c r="BA26"/>
      <c r="BB26"/>
      <c r="BC26" s="14"/>
    </row>
    <row r="27" spans="1:55" x14ac:dyDescent="0.35">
      <c r="A27" s="1">
        <f>IF(A26&lt;'Project Information'!B$11,A26+1,"")</f>
        <v>2038</v>
      </c>
      <c r="B27" s="22">
        <f>B26*(1+(Inputs!D$7/'Project Information'!$B$10))</f>
        <v>2477857.2497877874</v>
      </c>
      <c r="C27" s="22">
        <f>C26*(1+(Inputs!E$7/'Project Information'!$B$10))</f>
        <v>281107.44505699276</v>
      </c>
      <c r="D27" s="8">
        <f t="shared" si="0"/>
        <v>2196749.8047307949</v>
      </c>
      <c r="G27" s="13"/>
      <c r="H27" s="229" t="s">
        <v>519</v>
      </c>
      <c r="I27" s="322">
        <f>CrashData_Summary_by_FocusArea!$E$15</f>
        <v>2.25</v>
      </c>
      <c r="J27" s="302">
        <f t="shared" si="1"/>
        <v>275400</v>
      </c>
      <c r="L27" s="420">
        <f>CMFs_by_FocusArea!$C$12</f>
        <v>0.57199999999999995</v>
      </c>
      <c r="M27"/>
      <c r="N27" s="331">
        <f t="shared" si="2"/>
        <v>0.96300000000000008</v>
      </c>
      <c r="O27" s="302">
        <f t="shared" si="3"/>
        <v>117871.20000000001</v>
      </c>
      <c r="P27" s="226"/>
      <c r="Q27" s="229" t="s">
        <v>519</v>
      </c>
      <c r="R27" s="322">
        <f>CrashData_Summary_by_FocusArea!L15</f>
        <v>0.16666666666666666</v>
      </c>
      <c r="S27" s="302">
        <f t="shared" si="4"/>
        <v>20400</v>
      </c>
      <c r="U27" s="420">
        <f>CMFs_by_FocusArea!$C$17</f>
        <v>0.52949999999999997</v>
      </c>
      <c r="V27"/>
      <c r="W27" s="343">
        <f t="shared" si="5"/>
        <v>7.8416666666666662E-2</v>
      </c>
      <c r="X27" s="302">
        <f t="shared" si="6"/>
        <v>9598.1999999999989</v>
      </c>
      <c r="Y27"/>
      <c r="Z27" s="229" t="s">
        <v>519</v>
      </c>
      <c r="AA27" s="322">
        <f>CrashData_Summary_by_FocusArea!S15</f>
        <v>4.625</v>
      </c>
      <c r="AB27" s="302">
        <f t="shared" si="7"/>
        <v>566100</v>
      </c>
      <c r="AD27" s="420">
        <f>CMFs_by_FocusArea!$C$29</f>
        <v>0.67500000000000004</v>
      </c>
      <c r="AE27"/>
      <c r="AF27" s="343">
        <f t="shared" si="8"/>
        <v>1.5031249999999998</v>
      </c>
      <c r="AG27" s="302">
        <f t="shared" si="9"/>
        <v>183982.49999999997</v>
      </c>
      <c r="AH27"/>
      <c r="AI27"/>
      <c r="AJ27"/>
      <c r="AK27"/>
      <c r="AL27"/>
      <c r="AM27"/>
      <c r="AN27"/>
      <c r="AO27"/>
      <c r="AP27"/>
      <c r="AQ27"/>
      <c r="AR27"/>
      <c r="AS27"/>
      <c r="AT27"/>
      <c r="AU27"/>
      <c r="AV27"/>
      <c r="AW27"/>
      <c r="AX27"/>
      <c r="AY27"/>
      <c r="AZ27"/>
      <c r="BA27"/>
      <c r="BB27"/>
      <c r="BC27" s="14"/>
    </row>
    <row r="28" spans="1:55" x14ac:dyDescent="0.35">
      <c r="A28" s="1">
        <f>IF(A27&lt;'Project Information'!B$11,A27+1,"")</f>
        <v>2039</v>
      </c>
      <c r="B28" s="22">
        <f>B27*(1+(Inputs!D$7/'Project Information'!$B$10))</f>
        <v>2478267.2365095722</v>
      </c>
      <c r="C28" s="22">
        <f>C27*(1+(Inputs!E$7/'Project Information'!$B$10))</f>
        <v>281153.95714717801</v>
      </c>
      <c r="D28" s="8">
        <f t="shared" si="0"/>
        <v>2197113.2793623945</v>
      </c>
      <c r="G28" s="13"/>
      <c r="H28" s="229" t="s">
        <v>685</v>
      </c>
      <c r="I28" s="322">
        <f>CrashData_Summary_by_FocusArea!$D$15</f>
        <v>0.5</v>
      </c>
      <c r="J28" s="302">
        <f t="shared" si="1"/>
        <v>128150</v>
      </c>
      <c r="L28" s="420">
        <f>CMFs_by_FocusArea!$C$12</f>
        <v>0.57199999999999995</v>
      </c>
      <c r="M28"/>
      <c r="N28" s="331">
        <f t="shared" si="2"/>
        <v>0.21400000000000002</v>
      </c>
      <c r="O28" s="302">
        <f t="shared" si="3"/>
        <v>54848.200000000004</v>
      </c>
      <c r="P28" s="226"/>
      <c r="Q28" s="229" t="s">
        <v>685</v>
      </c>
      <c r="R28" s="341">
        <v>0</v>
      </c>
      <c r="S28" s="302">
        <f t="shared" si="4"/>
        <v>0</v>
      </c>
      <c r="U28" s="420">
        <f>CMFs_by_FocusArea!$C$17</f>
        <v>0.52949999999999997</v>
      </c>
      <c r="V28"/>
      <c r="W28" s="343">
        <f t="shared" si="5"/>
        <v>0</v>
      </c>
      <c r="X28" s="302">
        <f t="shared" si="6"/>
        <v>0</v>
      </c>
      <c r="Y28"/>
      <c r="Z28" s="229" t="s">
        <v>685</v>
      </c>
      <c r="AA28" s="322">
        <f>CrashData_Summary_by_FocusArea!R15</f>
        <v>2</v>
      </c>
      <c r="AB28" s="302">
        <f t="shared" si="7"/>
        <v>512600</v>
      </c>
      <c r="AD28" s="420">
        <f>CMFs_by_FocusArea!$C$29</f>
        <v>0.67500000000000004</v>
      </c>
      <c r="AE28"/>
      <c r="AF28" s="343">
        <f t="shared" si="8"/>
        <v>0.64999999999999991</v>
      </c>
      <c r="AG28" s="302">
        <f t="shared" si="9"/>
        <v>166594.99999999997</v>
      </c>
      <c r="AH28"/>
      <c r="AI28"/>
      <c r="AJ28"/>
      <c r="AK28"/>
      <c r="AL28"/>
      <c r="AM28"/>
      <c r="AN28"/>
      <c r="AO28"/>
      <c r="AP28"/>
      <c r="AQ28"/>
      <c r="AR28"/>
      <c r="AS28"/>
      <c r="AT28"/>
      <c r="AU28"/>
      <c r="AV28"/>
      <c r="AW28"/>
      <c r="AX28"/>
      <c r="AY28"/>
      <c r="AZ28"/>
      <c r="BA28"/>
      <c r="BB28"/>
      <c r="BC28" s="14"/>
    </row>
    <row r="29" spans="1:55" x14ac:dyDescent="0.35">
      <c r="A29" s="1">
        <f>IF(A28&lt;'Project Information'!B$11,A28+1,"")</f>
        <v>2040</v>
      </c>
      <c r="B29" s="22">
        <f>B28*(1+(Inputs!D$7/'Project Information'!$B$10))</f>
        <v>2478677.2910678363</v>
      </c>
      <c r="C29" s="22">
        <f>C28*(1+(Inputs!E$7/'Project Information'!$B$10))</f>
        <v>281200.47693326237</v>
      </c>
      <c r="D29" s="8">
        <f t="shared" si="0"/>
        <v>2197476.814134574</v>
      </c>
      <c r="G29" s="13"/>
      <c r="H29" s="229" t="s">
        <v>1314</v>
      </c>
      <c r="I29" s="322">
        <f>CrashData_Summary_by_FocusArea!$C$15</f>
        <v>0</v>
      </c>
      <c r="J29" s="302">
        <f t="shared" si="1"/>
        <v>0</v>
      </c>
      <c r="L29" s="420">
        <f>CMFs_by_FocusArea!$C$12</f>
        <v>0.57199999999999995</v>
      </c>
      <c r="M29"/>
      <c r="N29" s="331">
        <f t="shared" si="2"/>
        <v>0</v>
      </c>
      <c r="O29" s="302">
        <f t="shared" si="3"/>
        <v>0</v>
      </c>
      <c r="P29" s="226"/>
      <c r="Q29" s="229" t="s">
        <v>1314</v>
      </c>
      <c r="R29" s="341">
        <v>0</v>
      </c>
      <c r="S29" s="302">
        <f t="shared" si="4"/>
        <v>0</v>
      </c>
      <c r="U29" s="420">
        <f>CMFs_by_FocusArea!$C$17</f>
        <v>0.52949999999999997</v>
      </c>
      <c r="V29"/>
      <c r="W29" s="343">
        <f t="shared" si="5"/>
        <v>0</v>
      </c>
      <c r="X29" s="302">
        <f t="shared" si="6"/>
        <v>0</v>
      </c>
      <c r="Y29"/>
      <c r="Z29" s="229" t="s">
        <v>1314</v>
      </c>
      <c r="AA29" s="322">
        <f>CrashData_Summary_by_FocusArea!Q15</f>
        <v>0.25</v>
      </c>
      <c r="AB29" s="302">
        <f t="shared" si="7"/>
        <v>325575</v>
      </c>
      <c r="AD29" s="420">
        <f>CMFs_by_FocusArea!$C$29</f>
        <v>0.67500000000000004</v>
      </c>
      <c r="AE29"/>
      <c r="AF29" s="343">
        <f t="shared" si="8"/>
        <v>8.1249999999999989E-2</v>
      </c>
      <c r="AG29" s="302">
        <f t="shared" si="9"/>
        <v>105811.87499999999</v>
      </c>
      <c r="AH29"/>
      <c r="AI29"/>
      <c r="AJ29"/>
      <c r="AK29"/>
      <c r="AL29"/>
      <c r="AM29"/>
      <c r="AN29"/>
      <c r="AO29"/>
      <c r="AP29"/>
      <c r="AQ29"/>
      <c r="AR29"/>
      <c r="AS29"/>
      <c r="AT29"/>
      <c r="AU29"/>
      <c r="AV29"/>
      <c r="AW29"/>
      <c r="AX29"/>
      <c r="AY29"/>
      <c r="AZ29"/>
      <c r="BA29"/>
      <c r="BB29"/>
      <c r="BC29" s="14"/>
    </row>
    <row r="30" spans="1:55" x14ac:dyDescent="0.35">
      <c r="A30" s="1">
        <f>IF(A29&lt;'Project Information'!B$11,A29+1,"")</f>
        <v>2041</v>
      </c>
      <c r="B30" s="22">
        <f>B29*(1+(Inputs!D$7/'Project Information'!$B$10))</f>
        <v>2479087.413473804</v>
      </c>
      <c r="C30" s="22">
        <f>C29*(1+(Inputs!E$7/'Project Information'!$B$10))</f>
        <v>281247.00441651919</v>
      </c>
      <c r="D30" s="8">
        <f t="shared" si="0"/>
        <v>2197840.4090572847</v>
      </c>
      <c r="G30" s="13"/>
      <c r="H30" s="229" t="s">
        <v>1511</v>
      </c>
      <c r="I30" s="322">
        <f>CrashData_Summary_by_FocusArea!$B$15</f>
        <v>0</v>
      </c>
      <c r="J30" s="302">
        <f t="shared" si="1"/>
        <v>0</v>
      </c>
      <c r="L30" s="420">
        <f>CMFs_by_FocusArea!$C$12</f>
        <v>0.57199999999999995</v>
      </c>
      <c r="M30"/>
      <c r="N30" s="331">
        <f t="shared" si="2"/>
        <v>0</v>
      </c>
      <c r="O30" s="302">
        <f t="shared" si="3"/>
        <v>0</v>
      </c>
      <c r="P30" s="226"/>
      <c r="Q30" s="229" t="s">
        <v>1511</v>
      </c>
      <c r="R30" s="341">
        <v>0</v>
      </c>
      <c r="S30" s="302">
        <f t="shared" si="4"/>
        <v>0</v>
      </c>
      <c r="U30" s="420">
        <f>CMFs_by_FocusArea!$C$17</f>
        <v>0.52949999999999997</v>
      </c>
      <c r="V30"/>
      <c r="W30" s="343">
        <f t="shared" si="5"/>
        <v>0</v>
      </c>
      <c r="X30" s="302">
        <f t="shared" si="6"/>
        <v>0</v>
      </c>
      <c r="Y30"/>
      <c r="Z30" s="229" t="s">
        <v>1511</v>
      </c>
      <c r="AA30" s="322">
        <f>CrashData_Summary_by_FocusArea!P15</f>
        <v>0</v>
      </c>
      <c r="AB30" s="302">
        <f t="shared" si="7"/>
        <v>0</v>
      </c>
      <c r="AD30" s="420">
        <f>CMFs_by_FocusArea!$C$29</f>
        <v>0.67500000000000004</v>
      </c>
      <c r="AE30"/>
      <c r="AF30" s="343">
        <f t="shared" si="8"/>
        <v>0</v>
      </c>
      <c r="AG30" s="302">
        <f t="shared" si="9"/>
        <v>0</v>
      </c>
      <c r="AH30"/>
      <c r="AI30"/>
      <c r="AJ30"/>
      <c r="AK30"/>
      <c r="AL30"/>
      <c r="AM30"/>
      <c r="AN30"/>
      <c r="AO30"/>
      <c r="AP30"/>
      <c r="AQ30"/>
      <c r="AR30"/>
      <c r="AS30"/>
      <c r="AT30"/>
      <c r="AU30"/>
      <c r="AV30"/>
      <c r="AW30"/>
      <c r="AX30"/>
      <c r="AY30"/>
      <c r="AZ30"/>
      <c r="BA30"/>
      <c r="BB30"/>
      <c r="BC30" s="14"/>
    </row>
    <row r="31" spans="1:55" x14ac:dyDescent="0.35">
      <c r="A31" s="1">
        <f>IF(A30&lt;'Project Information'!B$11,A30+1,"")</f>
        <v>2042</v>
      </c>
      <c r="B31" s="22">
        <f>B30*(1+(Inputs!D$7/'Project Information'!$B$10))</f>
        <v>2479497.6037387014</v>
      </c>
      <c r="C31" s="22">
        <f>C30*(1+(Inputs!E$7/'Project Information'!$B$10))</f>
        <v>281293.53959822201</v>
      </c>
      <c r="D31" s="8">
        <f t="shared" si="0"/>
        <v>2198204.0641404795</v>
      </c>
      <c r="G31" s="13"/>
      <c r="H31" s="229" t="s">
        <v>1512</v>
      </c>
      <c r="I31" s="341">
        <v>0</v>
      </c>
      <c r="J31" s="302">
        <f t="shared" si="1"/>
        <v>0</v>
      </c>
      <c r="L31" s="420">
        <f>CMFs_by_FocusArea!$C$12</f>
        <v>0.57199999999999995</v>
      </c>
      <c r="M31"/>
      <c r="N31" s="331">
        <f t="shared" si="2"/>
        <v>0</v>
      </c>
      <c r="O31" s="302">
        <f t="shared" si="3"/>
        <v>0</v>
      </c>
      <c r="P31" s="226"/>
      <c r="Q31" s="229" t="s">
        <v>1512</v>
      </c>
      <c r="R31" s="341">
        <v>0</v>
      </c>
      <c r="S31" s="302">
        <f t="shared" si="4"/>
        <v>0</v>
      </c>
      <c r="U31" s="420">
        <f>CMFs_by_FocusArea!$C$17</f>
        <v>0.52949999999999997</v>
      </c>
      <c r="V31"/>
      <c r="W31" s="343">
        <f t="shared" si="5"/>
        <v>0</v>
      </c>
      <c r="X31" s="302">
        <f t="shared" si="6"/>
        <v>0</v>
      </c>
      <c r="Y31"/>
      <c r="Z31" s="229" t="s">
        <v>1512</v>
      </c>
      <c r="AA31" s="341">
        <v>0</v>
      </c>
      <c r="AB31" s="302">
        <f t="shared" si="7"/>
        <v>0</v>
      </c>
      <c r="AD31" s="420">
        <f>CMFs_by_FocusArea!$C$29</f>
        <v>0.67500000000000004</v>
      </c>
      <c r="AE31"/>
      <c r="AF31" s="343">
        <f t="shared" si="8"/>
        <v>0</v>
      </c>
      <c r="AG31" s="302">
        <f t="shared" si="9"/>
        <v>0</v>
      </c>
      <c r="AH31"/>
      <c r="AI31"/>
      <c r="AJ31"/>
      <c r="AK31"/>
      <c r="AL31"/>
      <c r="AM31"/>
      <c r="AN31"/>
      <c r="AO31"/>
      <c r="AP31"/>
      <c r="AQ31"/>
      <c r="AR31"/>
      <c r="AS31"/>
      <c r="AT31"/>
      <c r="AU31"/>
      <c r="AV31"/>
      <c r="AW31"/>
      <c r="AX31"/>
      <c r="AY31"/>
      <c r="AZ31"/>
      <c r="BA31"/>
      <c r="BB31"/>
      <c r="BC31" s="14"/>
    </row>
    <row r="32" spans="1:55" x14ac:dyDescent="0.35">
      <c r="A32" s="1">
        <f>IF(A31&lt;'Project Information'!B$11,A31+1,"")</f>
        <v>2043</v>
      </c>
      <c r="B32" s="22">
        <f>B31*(1+(Inputs!D$7/'Project Information'!$B$10))</f>
        <v>2479907.8618737566</v>
      </c>
      <c r="C32" s="22">
        <f>C31*(1+(Inputs!E$7/'Project Information'!$B$10))</f>
        <v>281340.08247964468</v>
      </c>
      <c r="D32" s="8">
        <f t="shared" si="0"/>
        <v>2198567.7793941121</v>
      </c>
      <c r="G32" s="13"/>
      <c r="H32" s="229" t="s">
        <v>1513</v>
      </c>
      <c r="I32" s="322">
        <f>CrashData_Summary_by_FocusArea!$F$15/2</f>
        <v>16.625</v>
      </c>
      <c r="J32" s="302">
        <f>I32*$B16</f>
        <v>161262.5</v>
      </c>
      <c r="L32" s="420">
        <f>CMFs_by_FocusArea!$C$12</f>
        <v>0.57199999999999995</v>
      </c>
      <c r="M32"/>
      <c r="N32" s="331">
        <f t="shared" si="2"/>
        <v>7.1155000000000008</v>
      </c>
      <c r="O32" s="302">
        <f>N32*$B16</f>
        <v>69020.350000000006</v>
      </c>
      <c r="P32" s="226"/>
      <c r="Q32" s="229" t="s">
        <v>1513</v>
      </c>
      <c r="R32" s="322">
        <f>CrashData_Summary_by_FocusArea!$M$15/2</f>
        <v>1.4166666666666667</v>
      </c>
      <c r="S32" s="302">
        <f>R32*$B16</f>
        <v>13741.666666666668</v>
      </c>
      <c r="U32" s="420">
        <f>CMFs_by_FocusArea!$C$17</f>
        <v>0.52949999999999997</v>
      </c>
      <c r="V32"/>
      <c r="W32" s="343">
        <f t="shared" si="5"/>
        <v>0.6665416666666667</v>
      </c>
      <c r="X32" s="302">
        <f>W32*$B16</f>
        <v>6465.4541666666673</v>
      </c>
      <c r="Y32"/>
      <c r="Z32" s="229" t="s">
        <v>1513</v>
      </c>
      <c r="AA32" s="322">
        <f>CrashData_Summary_by_FocusArea!$T$15/2</f>
        <v>24.5625</v>
      </c>
      <c r="AB32" s="302">
        <f>AA32*$B16</f>
        <v>238256.25</v>
      </c>
      <c r="AD32" s="420">
        <f>CMFs_by_FocusArea!$C$29</f>
        <v>0.67500000000000004</v>
      </c>
      <c r="AE32"/>
      <c r="AF32" s="343">
        <f t="shared" si="8"/>
        <v>7.9828124999999988</v>
      </c>
      <c r="AG32" s="302">
        <f>AF32*$B16</f>
        <v>77433.281249999985</v>
      </c>
      <c r="AH32"/>
      <c r="AI32" t="s">
        <v>1694</v>
      </c>
      <c r="AJ32"/>
      <c r="AK32"/>
      <c r="AL32"/>
      <c r="AM32"/>
      <c r="AN32"/>
      <c r="AO32"/>
      <c r="AP32"/>
      <c r="AQ32"/>
      <c r="AR32"/>
      <c r="AS32"/>
      <c r="AT32"/>
      <c r="AU32"/>
      <c r="AV32"/>
      <c r="AW32"/>
      <c r="AX32"/>
      <c r="AY32"/>
      <c r="AZ32"/>
      <c r="BA32"/>
      <c r="BB32"/>
      <c r="BC32" s="14"/>
    </row>
    <row r="33" spans="1:55" x14ac:dyDescent="0.35">
      <c r="A33" s="1">
        <f>IF(A32&lt;'Project Information'!B$11,A32+1,"")</f>
        <v>2044</v>
      </c>
      <c r="B33" s="22">
        <f>B32*(1+(Inputs!D$7/'Project Information'!$B$10))</f>
        <v>2480318.187890199</v>
      </c>
      <c r="C33" s="22">
        <f>C32*(1+(Inputs!E$7/'Project Information'!$B$10))</f>
        <v>281386.63306206116</v>
      </c>
      <c r="D33" s="8">
        <f t="shared" si="0"/>
        <v>2198931.5548281381</v>
      </c>
      <c r="G33" s="13"/>
      <c r="H33" s="303" t="s">
        <v>19</v>
      </c>
      <c r="I33" s="344">
        <f>SUM(I26:I32)</f>
        <v>36</v>
      </c>
      <c r="J33" s="336">
        <f>SUM(J26:J32)</f>
        <v>656250</v>
      </c>
      <c r="K33" s="330"/>
      <c r="L33" s="329"/>
      <c r="M33" s="294"/>
      <c r="N33" s="335">
        <f>SUM(N26:N32)</f>
        <v>15.408000000000003</v>
      </c>
      <c r="O33" s="308">
        <f>SUM(O26:O32)</f>
        <v>280875</v>
      </c>
      <c r="P33" s="226"/>
      <c r="Q33" s="303" t="s">
        <v>19</v>
      </c>
      <c r="R33" s="342">
        <f>SUM(R26:R32)</f>
        <v>3</v>
      </c>
      <c r="S33" s="336">
        <f>SUM(S26:S32)</f>
        <v>41933.333333333336</v>
      </c>
      <c r="T33" s="330"/>
      <c r="U33" s="329"/>
      <c r="V33" s="294"/>
      <c r="W33" s="342">
        <f>SUM(W26:W32)</f>
        <v>1.4115000000000002</v>
      </c>
      <c r="X33" s="336">
        <f>SUM(X26:X32)</f>
        <v>19729.633333333331</v>
      </c>
      <c r="Y33"/>
      <c r="Z33" s="303" t="s">
        <v>19</v>
      </c>
      <c r="AA33" s="342">
        <f>SUM(AA26:AA32)</f>
        <v>56</v>
      </c>
      <c r="AB33" s="336">
        <f>SUM(AB26:AB32)</f>
        <v>1777625</v>
      </c>
      <c r="AC33" s="330"/>
      <c r="AD33" s="329"/>
      <c r="AE33" s="294"/>
      <c r="AF33" s="342">
        <f>SUM(AF26:AF32)</f>
        <v>18.2</v>
      </c>
      <c r="AG33" s="336">
        <f>SUM(AG26:AG32)</f>
        <v>577728.12499999988</v>
      </c>
      <c r="AH33"/>
      <c r="AI33"/>
      <c r="AJ33"/>
      <c r="AK33"/>
      <c r="AL33"/>
      <c r="AM33"/>
      <c r="AN33"/>
      <c r="AO33"/>
      <c r="AP33"/>
      <c r="AQ33"/>
      <c r="AR33"/>
      <c r="AS33"/>
      <c r="AT33"/>
      <c r="AU33"/>
      <c r="AV33"/>
      <c r="AW33"/>
      <c r="AX33"/>
      <c r="AY33"/>
      <c r="AZ33"/>
      <c r="BA33"/>
      <c r="BB33"/>
      <c r="BC33" s="14"/>
    </row>
    <row r="34" spans="1:55" x14ac:dyDescent="0.35">
      <c r="A34" s="1">
        <f>IF(A33&lt;'Project Information'!B$11,A33+1,"")</f>
        <v>2045</v>
      </c>
      <c r="B34" s="22">
        <f>B33*(1+(Inputs!D$7/'Project Information'!$B$10))</f>
        <v>2480728.5817992603</v>
      </c>
      <c r="C34" s="22">
        <f>C33*(1+(Inputs!E$7/'Project Information'!$B$10))</f>
        <v>281433.19134674571</v>
      </c>
      <c r="D34" s="8">
        <f t="shared" si="0"/>
        <v>2199295.3904525144</v>
      </c>
      <c r="G34" s="13"/>
      <c r="H34"/>
      <c r="I34" s="304"/>
      <c r="J34" s="337"/>
      <c r="K34" s="304"/>
      <c r="L34" s="304"/>
      <c r="M34" s="304"/>
      <c r="N34" s="304"/>
      <c r="O34"/>
      <c r="P34"/>
      <c r="Q34"/>
      <c r="R34" s="337"/>
      <c r="S34" s="337"/>
      <c r="T34" s="304"/>
      <c r="U34" s="304"/>
      <c r="V34" s="304"/>
      <c r="W34" s="337"/>
      <c r="X34" s="58"/>
      <c r="Y34"/>
      <c r="Z34"/>
      <c r="AA34" s="337"/>
      <c r="AB34" s="337"/>
      <c r="AC34" s="304"/>
      <c r="AD34" s="304"/>
      <c r="AE34" s="304"/>
      <c r="AF34" s="337"/>
      <c r="AG34" s="58"/>
      <c r="AH34"/>
      <c r="AI34"/>
      <c r="AJ34"/>
      <c r="AK34"/>
      <c r="AL34"/>
      <c r="AM34"/>
      <c r="AN34"/>
      <c r="AO34"/>
      <c r="AP34"/>
      <c r="AQ34"/>
      <c r="AR34"/>
      <c r="AS34"/>
      <c r="AT34"/>
      <c r="AU34"/>
      <c r="AV34"/>
      <c r="AW34"/>
      <c r="AX34"/>
      <c r="AY34"/>
      <c r="AZ34"/>
      <c r="BA34"/>
      <c r="BB34"/>
      <c r="BC34" s="14"/>
    </row>
    <row r="35" spans="1:55" x14ac:dyDescent="0.35">
      <c r="A35" s="1">
        <f>IF(A34&lt;'Project Information'!B$11,A34+1,"")</f>
        <v>2046</v>
      </c>
      <c r="B35" s="22">
        <f>B34*(1+(Inputs!D$7/'Project Information'!$B$10))</f>
        <v>2481139.0436121742</v>
      </c>
      <c r="C35" s="22">
        <f>C34*(1+(Inputs!E$7/'Project Information'!$B$10))</f>
        <v>281479.75733497267</v>
      </c>
      <c r="D35" s="8">
        <f t="shared" si="0"/>
        <v>2199659.2862772015</v>
      </c>
      <c r="G35" s="13"/>
      <c r="H35" s="333" t="s">
        <v>1552</v>
      </c>
      <c r="I35" s="334">
        <f>I33-SUM(CrashData_Summary_by_FocusArea!B15:F15)</f>
        <v>0</v>
      </c>
      <c r="J35" s="226"/>
      <c r="K35" s="226"/>
      <c r="L35" s="226"/>
      <c r="M35" s="226"/>
      <c r="N35" s="226"/>
      <c r="O35"/>
      <c r="P35"/>
      <c r="Q35"/>
      <c r="R35" s="334">
        <f>R33-SUM(CrashData_Summary_by_FocusArea!I15:M15)</f>
        <v>0</v>
      </c>
      <c r="S35" s="226"/>
      <c r="T35" s="226"/>
      <c r="U35" s="226"/>
      <c r="V35" s="226"/>
      <c r="W35" s="226"/>
      <c r="X35"/>
      <c r="Y35"/>
      <c r="Z35"/>
      <c r="AA35" s="334">
        <f>AA33-SUM(CrashData_Summary_by_FocusArea!P15:T15)</f>
        <v>0</v>
      </c>
      <c r="AB35" s="226"/>
      <c r="AC35" s="226"/>
      <c r="AD35" s="226"/>
      <c r="AE35" s="226"/>
      <c r="AF35" s="226"/>
      <c r="AG35"/>
      <c r="AH35"/>
      <c r="AI35"/>
      <c r="AJ35"/>
      <c r="AK35"/>
      <c r="AL35"/>
      <c r="AM35"/>
      <c r="AN35"/>
      <c r="AO35"/>
      <c r="AP35"/>
      <c r="AQ35"/>
      <c r="AR35"/>
      <c r="AS35"/>
      <c r="AT35"/>
      <c r="AU35"/>
      <c r="AV35"/>
      <c r="AW35"/>
      <c r="AX35"/>
      <c r="AY35"/>
      <c r="AZ35"/>
      <c r="BA35"/>
      <c r="BB35"/>
      <c r="BC35" s="14"/>
    </row>
    <row r="36" spans="1:55" x14ac:dyDescent="0.35">
      <c r="A36" s="1">
        <f>IF(A35&lt;'Project Information'!B$11,A35+1,"")</f>
        <v>2047</v>
      </c>
      <c r="B36" s="22">
        <f>B35*(1+(Inputs!D$7/'Project Information'!$B$10))</f>
        <v>2481549.5733401761</v>
      </c>
      <c r="C36" s="22">
        <f>C35*(1+(Inputs!E$7/'Project Information'!$B$10))</f>
        <v>281526.33102801675</v>
      </c>
      <c r="D36" s="8">
        <f t="shared" si="0"/>
        <v>2200023.2423121594</v>
      </c>
      <c r="G36" s="13"/>
      <c r="O36"/>
      <c r="P36"/>
      <c r="Q36"/>
      <c r="X36"/>
      <c r="Y36"/>
      <c r="Z36"/>
      <c r="AG36"/>
      <c r="AH36"/>
      <c r="AI36"/>
      <c r="AJ36"/>
      <c r="AK36"/>
      <c r="AL36"/>
      <c r="AM36"/>
      <c r="AN36"/>
      <c r="AO36"/>
      <c r="AP36"/>
      <c r="AQ36"/>
      <c r="AR36"/>
      <c r="AS36"/>
      <c r="AT36"/>
      <c r="AU36"/>
      <c r="AV36"/>
      <c r="AW36"/>
      <c r="AX36"/>
      <c r="AY36"/>
      <c r="AZ36"/>
      <c r="BA36"/>
      <c r="BB36"/>
      <c r="BC36" s="14"/>
    </row>
    <row r="37" spans="1:55" x14ac:dyDescent="0.35">
      <c r="A37" s="1">
        <f>IF(A36&lt;'Project Information'!B$11,A36+1,"")</f>
        <v>2048</v>
      </c>
      <c r="B37" s="22">
        <f>B36*(1+(Inputs!D$7/'Project Information'!$B$10))</f>
        <v>2481960.1709945034</v>
      </c>
      <c r="C37" s="22">
        <f>C36*(1+(Inputs!E$7/'Project Information'!$B$10))</f>
        <v>281572.91242715274</v>
      </c>
      <c r="D37" s="8">
        <f t="shared" si="0"/>
        <v>2200387.2585673509</v>
      </c>
      <c r="G37" s="13"/>
      <c r="O37"/>
      <c r="P37"/>
      <c r="Q37"/>
      <c r="X37"/>
      <c r="Y37"/>
      <c r="Z37"/>
      <c r="AG37"/>
      <c r="AH37"/>
      <c r="AI37"/>
      <c r="AJ37"/>
      <c r="AK37"/>
      <c r="AL37"/>
      <c r="AM37"/>
      <c r="AN37"/>
      <c r="AO37"/>
      <c r="AP37"/>
      <c r="AQ37"/>
      <c r="AR37"/>
      <c r="AS37"/>
      <c r="AT37"/>
      <c r="AU37"/>
      <c r="AV37"/>
      <c r="AW37"/>
      <c r="AX37"/>
      <c r="AY37"/>
      <c r="AZ37"/>
      <c r="BA37"/>
      <c r="BB37"/>
      <c r="BC37" s="14"/>
    </row>
    <row r="38" spans="1:55" x14ac:dyDescent="0.35">
      <c r="A38" s="1">
        <f>IF(A37&lt;'Project Information'!B$11,A37+1,"")</f>
        <v>2049</v>
      </c>
      <c r="B38" s="22">
        <f>B37*(1+(Inputs!D$7/'Project Information'!$B$10))</f>
        <v>2482370.8365863948</v>
      </c>
      <c r="C38" s="22">
        <f>C37*(1+(Inputs!E$7/'Project Information'!$B$10))</f>
        <v>281619.50153365568</v>
      </c>
      <c r="D38" s="8">
        <f t="shared" si="0"/>
        <v>2200751.3350527389</v>
      </c>
      <c r="G38" s="13"/>
      <c r="O38"/>
      <c r="P38"/>
      <c r="Q38"/>
      <c r="X38"/>
      <c r="Y38"/>
      <c r="Z38"/>
      <c r="AG38"/>
      <c r="AH38"/>
      <c r="AI38"/>
      <c r="AJ38"/>
      <c r="AK38"/>
      <c r="AL38"/>
      <c r="AM38"/>
      <c r="AN38"/>
      <c r="AO38"/>
      <c r="AP38"/>
      <c r="AQ38"/>
      <c r="AR38"/>
      <c r="AS38"/>
      <c r="AT38"/>
      <c r="AU38"/>
      <c r="AV38"/>
      <c r="AW38"/>
      <c r="AX38"/>
      <c r="AY38"/>
      <c r="AZ38"/>
      <c r="BA38"/>
      <c r="BB38"/>
      <c r="BC38" s="14"/>
    </row>
    <row r="39" spans="1:55" x14ac:dyDescent="0.35">
      <c r="A39" s="1">
        <f>IF(A38&lt;'Project Information'!B$11,A38+1,"")</f>
        <v>2050</v>
      </c>
      <c r="B39" s="22">
        <f>B38*(1+(Inputs!D$7/'Project Information'!$B$10))</f>
        <v>2482781.5701270918</v>
      </c>
      <c r="C39" s="22">
        <f>C38*(1+(Inputs!E$7/'Project Information'!$B$10))</f>
        <v>281666.09834880085</v>
      </c>
      <c r="D39" s="8">
        <f t="shared" si="0"/>
        <v>2201115.4717782908</v>
      </c>
      <c r="G39" s="13"/>
      <c r="P39" s="226"/>
      <c r="Q39"/>
      <c r="Y39"/>
      <c r="Z39"/>
      <c r="AH39"/>
      <c r="AI39"/>
      <c r="AJ39"/>
      <c r="AK39"/>
      <c r="AL39"/>
      <c r="AM39"/>
      <c r="AN39"/>
      <c r="AO39"/>
      <c r="AP39"/>
      <c r="AQ39"/>
      <c r="AR39"/>
      <c r="AS39"/>
      <c r="AT39"/>
      <c r="AU39"/>
      <c r="AV39"/>
      <c r="AW39"/>
      <c r="AX39"/>
      <c r="AY39"/>
      <c r="AZ39"/>
      <c r="BA39"/>
      <c r="BB39"/>
      <c r="BC39" s="14"/>
    </row>
    <row r="40" spans="1:55" ht="49.5" customHeight="1" x14ac:dyDescent="0.35">
      <c r="A40" s="1">
        <f>IF(A39&lt;'Project Information'!B$11,A39+1,"")</f>
        <v>2051</v>
      </c>
      <c r="B40" s="22">
        <f>B39*(1+(Inputs!D$7/'Project Information'!$B$10))</f>
        <v>2483192.371627837</v>
      </c>
      <c r="C40" s="22">
        <f>C39*(1+(Inputs!E$7/'Project Information'!$B$10))</f>
        <v>281712.70287386375</v>
      </c>
      <c r="D40" s="8">
        <f t="shared" si="0"/>
        <v>2201479.6687539732</v>
      </c>
      <c r="G40" s="13"/>
      <c r="P40" s="226"/>
      <c r="Q40"/>
      <c r="Y40"/>
      <c r="Z40"/>
      <c r="AH40"/>
      <c r="AI40"/>
      <c r="AJ40"/>
      <c r="AK40"/>
      <c r="AL40"/>
      <c r="AM40"/>
      <c r="AN40"/>
      <c r="AO40"/>
      <c r="AP40"/>
      <c r="AQ40"/>
      <c r="AR40"/>
      <c r="AS40"/>
      <c r="AT40"/>
      <c r="AU40"/>
      <c r="AV40"/>
      <c r="AW40"/>
      <c r="AX40"/>
      <c r="AY40"/>
      <c r="AZ40"/>
      <c r="BA40"/>
      <c r="BB40"/>
      <c r="BC40" s="14"/>
    </row>
    <row r="41" spans="1:55" ht="49.5" customHeight="1" x14ac:dyDescent="0.35">
      <c r="A41" s="1">
        <f>IF(A40&lt;'Project Information'!B$11,A40+1,"")</f>
        <v>2052</v>
      </c>
      <c r="B41" s="22">
        <f>B40*(1+(Inputs!D$7/'Project Information'!$B$10))</f>
        <v>2483603.2410998745</v>
      </c>
      <c r="C41" s="22">
        <f>C40*(1+(Inputs!E$7/'Project Information'!$B$10))</f>
        <v>281759.31511012005</v>
      </c>
      <c r="D41" s="8">
        <f t="shared" si="0"/>
        <v>2201843.9259897545</v>
      </c>
      <c r="G41" s="13"/>
      <c r="P41" s="226"/>
      <c r="Q41"/>
      <c r="Y41"/>
      <c r="Z41"/>
      <c r="AH41"/>
      <c r="AI41"/>
      <c r="AJ41"/>
      <c r="AK41"/>
      <c r="AL41"/>
      <c r="AM41"/>
      <c r="AN41"/>
      <c r="AO41"/>
      <c r="AP41"/>
      <c r="AQ41"/>
      <c r="AR41"/>
      <c r="AS41"/>
      <c r="AT41"/>
      <c r="AU41"/>
      <c r="AV41"/>
      <c r="AW41"/>
      <c r="AX41"/>
      <c r="AY41"/>
      <c r="AZ41"/>
      <c r="BA41"/>
      <c r="BB41"/>
      <c r="BC41" s="14"/>
    </row>
    <row r="42" spans="1:55" ht="49.5" customHeight="1" x14ac:dyDescent="0.35">
      <c r="A42" s="1" t="str">
        <f>IF(A41&lt;'Project Information'!B$11,A41+1,"")</f>
        <v/>
      </c>
      <c r="B42" s="22"/>
      <c r="C42" s="22"/>
      <c r="D42" s="8">
        <f t="shared" si="0"/>
        <v>0</v>
      </c>
      <c r="G42" s="13"/>
      <c r="P42" s="226"/>
      <c r="Q42"/>
      <c r="Y42"/>
      <c r="Z42"/>
      <c r="AH42"/>
      <c r="AI42"/>
      <c r="AJ42"/>
      <c r="AK42"/>
      <c r="AL42"/>
      <c r="AM42"/>
      <c r="AN42"/>
      <c r="AO42"/>
      <c r="AP42"/>
      <c r="AQ42"/>
      <c r="AR42"/>
      <c r="AS42"/>
      <c r="AT42"/>
      <c r="AU42"/>
      <c r="AV42"/>
      <c r="AW42"/>
      <c r="AX42"/>
      <c r="AY42"/>
      <c r="AZ42"/>
      <c r="BA42"/>
      <c r="BB42"/>
      <c r="BC42" s="14"/>
    </row>
    <row r="43" spans="1:55" ht="49.5" customHeight="1" x14ac:dyDescent="0.35">
      <c r="A43" s="1" t="str">
        <f>IF(A42&lt;'Project Information'!B$11,A42+1,"")</f>
        <v/>
      </c>
      <c r="B43" s="22"/>
      <c r="C43" s="22"/>
      <c r="D43" s="8">
        <f t="shared" si="0"/>
        <v>0</v>
      </c>
      <c r="G43" s="13"/>
      <c r="L43" s="304"/>
      <c r="M43" s="304"/>
      <c r="N43" s="304"/>
      <c r="O43" s="304"/>
      <c r="P43" s="304"/>
      <c r="Q43"/>
      <c r="U43" s="304"/>
      <c r="V43" s="304"/>
      <c r="W43" s="304"/>
      <c r="X43" s="304"/>
      <c r="Y43"/>
      <c r="Z43"/>
      <c r="AD43" s="304"/>
      <c r="AE43" s="304"/>
      <c r="AF43" s="304"/>
      <c r="AG43" s="304"/>
      <c r="AH43"/>
      <c r="AI43"/>
      <c r="AJ43"/>
      <c r="AK43"/>
      <c r="AL43"/>
      <c r="AM43"/>
      <c r="AN43"/>
      <c r="AO43"/>
      <c r="AP43"/>
      <c r="AQ43"/>
      <c r="AR43"/>
      <c r="AS43"/>
      <c r="AT43"/>
      <c r="AU43"/>
      <c r="AV43"/>
      <c r="AW43"/>
      <c r="AX43"/>
      <c r="AY43"/>
      <c r="AZ43"/>
      <c r="BA43"/>
      <c r="BB43"/>
      <c r="BC43" s="14"/>
    </row>
    <row r="44" spans="1:55" ht="49.5" customHeight="1" x14ac:dyDescent="0.35">
      <c r="A44" s="1" t="str">
        <f>IF(A43&lt;'Project Information'!B$11,A43+1,"")</f>
        <v/>
      </c>
      <c r="B44" s="22"/>
      <c r="C44" s="22"/>
      <c r="D44" s="8">
        <f t="shared" si="0"/>
        <v>0</v>
      </c>
      <c r="G44" s="13"/>
      <c r="Q44"/>
      <c r="Y44"/>
      <c r="Z44"/>
      <c r="AH44"/>
      <c r="AI44"/>
      <c r="AJ44"/>
      <c r="AK44"/>
      <c r="AL44"/>
      <c r="AM44"/>
      <c r="AN44"/>
      <c r="AO44"/>
      <c r="AP44"/>
      <c r="AQ44"/>
      <c r="AR44"/>
      <c r="AS44"/>
      <c r="AT44"/>
      <c r="AU44"/>
      <c r="AV44"/>
      <c r="AW44"/>
      <c r="AX44"/>
      <c r="AY44"/>
      <c r="AZ44"/>
      <c r="BA44"/>
      <c r="BB44"/>
      <c r="BC44" s="14"/>
    </row>
    <row r="45" spans="1:55" ht="49.5" customHeight="1" x14ac:dyDescent="0.35">
      <c r="A45" s="1" t="str">
        <f>IF(A44&lt;'Project Information'!B$11,A44+1,"")</f>
        <v/>
      </c>
      <c r="B45" s="22"/>
      <c r="C45" s="22"/>
      <c r="D45" s="8">
        <f t="shared" si="0"/>
        <v>0</v>
      </c>
      <c r="G45" s="13"/>
      <c r="L45"/>
      <c r="M45"/>
      <c r="N45"/>
      <c r="O45"/>
      <c r="P45"/>
      <c r="Q45"/>
      <c r="U45"/>
      <c r="V45"/>
      <c r="W45"/>
      <c r="X45"/>
      <c r="Y45"/>
      <c r="Z45"/>
      <c r="AD45"/>
      <c r="AE45"/>
      <c r="AF45"/>
      <c r="AG45"/>
      <c r="AH45"/>
      <c r="AI45"/>
      <c r="AJ45"/>
      <c r="AK45"/>
      <c r="AL45"/>
      <c r="AM45"/>
      <c r="AN45"/>
      <c r="AO45"/>
      <c r="AP45"/>
      <c r="AQ45"/>
      <c r="AR45"/>
      <c r="AS45"/>
      <c r="AT45"/>
      <c r="AU45"/>
      <c r="AV45"/>
      <c r="AW45"/>
      <c r="AX45"/>
      <c r="AY45"/>
      <c r="AZ45"/>
      <c r="BA45"/>
      <c r="BB45"/>
      <c r="BC45" s="14"/>
    </row>
    <row r="46" spans="1:55" ht="49.5" customHeight="1" x14ac:dyDescent="0.35">
      <c r="A46" s="1" t="str">
        <f>IF(A45&lt;'Project Information'!B$11,A45+1,"")</f>
        <v/>
      </c>
      <c r="B46" s="22"/>
      <c r="C46" s="22"/>
      <c r="D46" s="8">
        <f t="shared" si="0"/>
        <v>0</v>
      </c>
      <c r="G46" s="13"/>
      <c r="L46"/>
      <c r="M46"/>
      <c r="N46"/>
      <c r="O46"/>
      <c r="P46"/>
      <c r="Q46"/>
      <c r="U46"/>
      <c r="V46"/>
      <c r="W46"/>
      <c r="X46"/>
      <c r="Y46"/>
      <c r="Z46"/>
      <c r="AD46"/>
      <c r="AE46"/>
      <c r="AF46"/>
      <c r="AG46"/>
      <c r="AH46"/>
      <c r="AI46"/>
      <c r="AJ46"/>
      <c r="AK46"/>
      <c r="AL46"/>
      <c r="AM46"/>
      <c r="AN46"/>
      <c r="AO46"/>
      <c r="AP46"/>
      <c r="AQ46"/>
      <c r="AR46"/>
      <c r="AS46"/>
      <c r="AT46"/>
      <c r="AU46"/>
      <c r="AV46"/>
      <c r="AW46"/>
      <c r="AX46"/>
      <c r="AY46"/>
      <c r="AZ46"/>
      <c r="BA46"/>
      <c r="BB46"/>
      <c r="BC46" s="14"/>
    </row>
    <row r="47" spans="1:55" x14ac:dyDescent="0.35">
      <c r="A47" s="1" t="str">
        <f>IF(A46&lt;'Project Information'!B$11,A46+1,"")</f>
        <v/>
      </c>
      <c r="B47" s="22"/>
      <c r="C47" s="22"/>
      <c r="D47" s="8">
        <f t="shared" si="0"/>
        <v>0</v>
      </c>
      <c r="G47" s="13"/>
      <c r="L47"/>
      <c r="M47"/>
      <c r="N47"/>
      <c r="O47"/>
      <c r="P47"/>
      <c r="Q47"/>
      <c r="U47"/>
      <c r="V47"/>
      <c r="W47"/>
      <c r="X47"/>
      <c r="Y47"/>
      <c r="Z47"/>
      <c r="AD47"/>
      <c r="AE47"/>
      <c r="AF47"/>
      <c r="AG47"/>
      <c r="AH47"/>
      <c r="AI47"/>
      <c r="AJ47"/>
      <c r="AK47"/>
      <c r="AL47"/>
      <c r="AM47"/>
      <c r="AN47"/>
      <c r="AO47"/>
      <c r="AP47"/>
      <c r="AQ47"/>
      <c r="AR47"/>
      <c r="AS47"/>
      <c r="AT47"/>
      <c r="AU47"/>
      <c r="AV47"/>
      <c r="AW47"/>
      <c r="AX47"/>
      <c r="AY47"/>
      <c r="AZ47"/>
      <c r="BA47"/>
      <c r="BB47"/>
      <c r="BC47" s="14"/>
    </row>
    <row r="48" spans="1:55" x14ac:dyDescent="0.35">
      <c r="A48" s="1" t="str">
        <f>IF(A47&lt;'Project Information'!B$11,A47+1,"")</f>
        <v/>
      </c>
      <c r="B48" s="22"/>
      <c r="C48" s="22"/>
      <c r="D48" s="8">
        <f t="shared" si="0"/>
        <v>0</v>
      </c>
      <c r="G48" s="13"/>
      <c r="L48"/>
      <c r="M48"/>
      <c r="N48"/>
      <c r="O48"/>
      <c r="P48"/>
      <c r="Q48"/>
      <c r="U48"/>
      <c r="V48"/>
      <c r="W48"/>
      <c r="X48"/>
      <c r="Y48"/>
      <c r="Z48"/>
      <c r="AD48"/>
      <c r="AE48"/>
      <c r="AF48"/>
      <c r="AG48"/>
      <c r="AH48"/>
      <c r="AI48"/>
      <c r="AJ48"/>
      <c r="AK48"/>
      <c r="AL48"/>
      <c r="AM48"/>
      <c r="AN48"/>
      <c r="AO48"/>
      <c r="AP48"/>
      <c r="AQ48"/>
      <c r="AR48"/>
      <c r="AS48"/>
      <c r="AT48"/>
      <c r="AU48"/>
      <c r="AV48"/>
      <c r="AW48"/>
      <c r="AX48"/>
      <c r="AY48"/>
      <c r="AZ48"/>
      <c r="BA48"/>
      <c r="BB48"/>
      <c r="BC48" s="14"/>
    </row>
    <row r="49" spans="1:55" x14ac:dyDescent="0.35">
      <c r="A49" s="1" t="str">
        <f>IF(A48&lt;'Project Information'!B$11,A48+1,"")</f>
        <v/>
      </c>
      <c r="B49" s="22"/>
      <c r="C49" s="22"/>
      <c r="D49" s="8">
        <f t="shared" si="0"/>
        <v>0</v>
      </c>
      <c r="G49" s="13"/>
      <c r="P49"/>
      <c r="Q49"/>
      <c r="Y49"/>
      <c r="Z49"/>
      <c r="AH49"/>
      <c r="AI49"/>
      <c r="AJ49"/>
      <c r="AK49"/>
      <c r="AL49"/>
      <c r="AM49"/>
      <c r="AN49"/>
      <c r="AO49"/>
      <c r="AP49"/>
      <c r="AQ49"/>
      <c r="AR49"/>
      <c r="AS49"/>
      <c r="AT49"/>
      <c r="AU49"/>
      <c r="AV49"/>
      <c r="AW49"/>
      <c r="AX49"/>
      <c r="AY49"/>
      <c r="AZ49"/>
      <c r="BA49"/>
      <c r="BB49"/>
      <c r="BC49" s="14"/>
    </row>
    <row r="50" spans="1:55" x14ac:dyDescent="0.35">
      <c r="A50" s="1" t="str">
        <f>IF(A49&lt;'Project Information'!B$11,A49+1,"")</f>
        <v/>
      </c>
      <c r="B50" s="22"/>
      <c r="C50" s="22"/>
      <c r="D50" s="8">
        <f t="shared" si="0"/>
        <v>0</v>
      </c>
      <c r="G50" s="13"/>
      <c r="P50"/>
      <c r="Q50"/>
      <c r="Y50"/>
      <c r="Z50"/>
      <c r="AH50"/>
      <c r="AI50"/>
      <c r="AJ50"/>
      <c r="AK50"/>
      <c r="AL50"/>
      <c r="AM50"/>
      <c r="AN50"/>
      <c r="AO50"/>
      <c r="AP50"/>
      <c r="AQ50"/>
      <c r="AR50"/>
      <c r="AS50"/>
      <c r="AT50"/>
      <c r="AU50"/>
      <c r="AV50"/>
      <c r="AW50"/>
      <c r="AX50"/>
      <c r="AY50"/>
      <c r="AZ50"/>
      <c r="BA50"/>
      <c r="BB50"/>
      <c r="BC50" s="14"/>
    </row>
    <row r="51" spans="1:55" x14ac:dyDescent="0.35">
      <c r="A51" s="1" t="str">
        <f>IF(A50&lt;'Project Information'!B$11,A50+1,"")</f>
        <v/>
      </c>
      <c r="B51" s="22"/>
      <c r="C51" s="22"/>
      <c r="D51" s="9">
        <f t="shared" si="0"/>
        <v>0</v>
      </c>
      <c r="G51" s="13"/>
      <c r="P51"/>
      <c r="Q51"/>
      <c r="Y51"/>
      <c r="Z51"/>
      <c r="AH51"/>
      <c r="AI51"/>
      <c r="AJ51"/>
      <c r="AK51"/>
      <c r="AL51"/>
      <c r="AM51"/>
      <c r="AN51"/>
      <c r="AO51"/>
      <c r="AP51"/>
      <c r="AQ51"/>
      <c r="AR51"/>
      <c r="AS51"/>
      <c r="AT51"/>
      <c r="AU51"/>
      <c r="AV51"/>
      <c r="AW51"/>
      <c r="AX51"/>
      <c r="AY51"/>
      <c r="AZ51"/>
      <c r="BA51"/>
      <c r="BB51"/>
      <c r="BC51" s="14"/>
    </row>
    <row r="52" spans="1:55" x14ac:dyDescent="0.35">
      <c r="A52" s="31"/>
      <c r="B52" s="32"/>
      <c r="C52" s="32"/>
      <c r="D52" s="29"/>
      <c r="G52" s="13"/>
      <c r="P52"/>
      <c r="Q52"/>
      <c r="Y52"/>
      <c r="Z52"/>
      <c r="AH52"/>
      <c r="AI52"/>
      <c r="AJ52"/>
      <c r="AK52"/>
      <c r="AL52"/>
      <c r="AM52"/>
      <c r="AN52"/>
      <c r="AO52"/>
      <c r="AP52"/>
      <c r="AQ52"/>
      <c r="AR52"/>
      <c r="AS52"/>
      <c r="AT52"/>
      <c r="AU52"/>
      <c r="AV52"/>
      <c r="AW52"/>
      <c r="AX52"/>
      <c r="AY52"/>
      <c r="AZ52"/>
      <c r="BA52"/>
      <c r="BB52"/>
      <c r="BC52" s="14"/>
    </row>
    <row r="53" spans="1:55" x14ac:dyDescent="0.35">
      <c r="B53" s="28"/>
      <c r="C53" s="28"/>
      <c r="D53" s="29"/>
      <c r="G53" s="13"/>
      <c r="P53"/>
      <c r="Q53"/>
      <c r="Y53"/>
      <c r="Z53"/>
      <c r="AH53"/>
      <c r="AI53"/>
      <c r="AJ53"/>
      <c r="AK53"/>
      <c r="AL53"/>
      <c r="AM53"/>
      <c r="AN53"/>
      <c r="AO53"/>
      <c r="AP53"/>
      <c r="AQ53"/>
      <c r="AR53"/>
      <c r="AS53"/>
      <c r="AT53"/>
      <c r="AU53"/>
      <c r="AV53"/>
      <c r="AW53"/>
      <c r="AX53"/>
      <c r="AY53"/>
      <c r="AZ53"/>
      <c r="BA53"/>
      <c r="BB53"/>
      <c r="BC53" s="14"/>
    </row>
    <row r="54" spans="1:55" x14ac:dyDescent="0.35">
      <c r="B54" s="28"/>
      <c r="C54" s="28"/>
      <c r="D54" s="29"/>
      <c r="G54" s="13"/>
      <c r="P54"/>
      <c r="Q54"/>
      <c r="Y54"/>
      <c r="Z54"/>
      <c r="AH54"/>
      <c r="AI54"/>
      <c r="AJ54"/>
      <c r="AK54"/>
      <c r="AL54"/>
      <c r="AM54"/>
      <c r="AN54"/>
      <c r="AO54"/>
      <c r="AP54"/>
      <c r="AQ54"/>
      <c r="AR54"/>
      <c r="AS54"/>
      <c r="AT54"/>
      <c r="AU54"/>
      <c r="AV54"/>
      <c r="AW54"/>
      <c r="AX54"/>
      <c r="AY54"/>
      <c r="AZ54"/>
      <c r="BA54"/>
      <c r="BB54"/>
      <c r="BC54" s="14"/>
    </row>
    <row r="55" spans="1:55" x14ac:dyDescent="0.35">
      <c r="B55" s="28"/>
      <c r="C55" s="28"/>
      <c r="D55" s="29"/>
      <c r="G55" s="13"/>
      <c r="P55"/>
      <c r="Q55"/>
      <c r="Y55"/>
      <c r="Z55"/>
      <c r="AH55"/>
      <c r="AI55"/>
      <c r="AJ55"/>
      <c r="AK55"/>
      <c r="AL55"/>
      <c r="AM55"/>
      <c r="AN55"/>
      <c r="AO55"/>
      <c r="AP55"/>
      <c r="AQ55"/>
      <c r="AR55"/>
      <c r="AS55"/>
      <c r="AT55"/>
      <c r="AU55"/>
      <c r="AV55"/>
      <c r="AW55"/>
      <c r="AX55"/>
      <c r="AY55"/>
      <c r="AZ55"/>
      <c r="BA55"/>
      <c r="BB55"/>
      <c r="BC55" s="14"/>
    </row>
    <row r="56" spans="1:55" x14ac:dyDescent="0.35">
      <c r="B56" s="28"/>
      <c r="C56" s="28"/>
      <c r="D56" s="29"/>
      <c r="G56" s="13"/>
      <c r="P56"/>
      <c r="Q56"/>
      <c r="Y56"/>
      <c r="Z56"/>
      <c r="AH56"/>
      <c r="AI56"/>
      <c r="AJ56"/>
      <c r="AK56"/>
      <c r="AL56"/>
      <c r="AM56"/>
      <c r="AN56"/>
      <c r="AO56"/>
      <c r="AP56"/>
      <c r="AQ56"/>
      <c r="AR56"/>
      <c r="AS56"/>
      <c r="AT56"/>
      <c r="AU56"/>
      <c r="AV56"/>
      <c r="AW56"/>
      <c r="AX56"/>
      <c r="AY56"/>
      <c r="AZ56"/>
      <c r="BA56"/>
      <c r="BB56"/>
      <c r="BC56" s="14"/>
    </row>
    <row r="57" spans="1:55" x14ac:dyDescent="0.35">
      <c r="B57" s="28"/>
      <c r="C57" s="28"/>
      <c r="D57" s="29"/>
      <c r="G57" s="13"/>
      <c r="P57"/>
      <c r="Q57"/>
      <c r="Y57"/>
      <c r="Z57"/>
      <c r="AH57"/>
      <c r="AI57"/>
      <c r="AJ57"/>
      <c r="AK57"/>
      <c r="AL57"/>
      <c r="AM57"/>
      <c r="AN57"/>
      <c r="AO57"/>
      <c r="AP57"/>
      <c r="AQ57"/>
      <c r="AR57"/>
      <c r="AS57"/>
      <c r="AT57"/>
      <c r="AU57"/>
      <c r="AV57"/>
      <c r="AW57"/>
      <c r="AX57"/>
      <c r="AY57"/>
      <c r="AZ57"/>
      <c r="BA57"/>
      <c r="BB57"/>
      <c r="BC57" s="14"/>
    </row>
    <row r="58" spans="1:55" x14ac:dyDescent="0.35">
      <c r="B58" s="28"/>
      <c r="C58" s="28"/>
      <c r="D58" s="29"/>
      <c r="G58" s="13"/>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s="14"/>
    </row>
    <row r="59" spans="1:55" x14ac:dyDescent="0.35">
      <c r="B59" s="28"/>
      <c r="C59" s="28"/>
      <c r="D59" s="29"/>
      <c r="G59" s="13"/>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s="14"/>
    </row>
    <row r="60" spans="1:55" x14ac:dyDescent="0.35">
      <c r="B60" s="28"/>
      <c r="C60" s="28"/>
      <c r="D60" s="29"/>
      <c r="G60" s="13"/>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s="14"/>
    </row>
    <row r="61" spans="1:55" x14ac:dyDescent="0.35">
      <c r="B61" s="28"/>
      <c r="C61" s="28"/>
      <c r="D61" s="29"/>
      <c r="G61" s="13"/>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s="14"/>
    </row>
    <row r="62" spans="1:55" x14ac:dyDescent="0.35">
      <c r="G62" s="13"/>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s="14"/>
    </row>
    <row r="63" spans="1:55" x14ac:dyDescent="0.35">
      <c r="G63" s="1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s="14"/>
    </row>
    <row r="64" spans="1:55" x14ac:dyDescent="0.35">
      <c r="G64" s="13"/>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s="14"/>
    </row>
    <row r="65" spans="7:55" x14ac:dyDescent="0.35">
      <c r="G65" s="13"/>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s="14"/>
    </row>
    <row r="66" spans="7:55" x14ac:dyDescent="0.35">
      <c r="G66" s="13"/>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s="14"/>
    </row>
    <row r="67" spans="7:55" x14ac:dyDescent="0.35">
      <c r="G67" s="13"/>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s="14"/>
    </row>
    <row r="68" spans="7:55" x14ac:dyDescent="0.35">
      <c r="G68" s="13"/>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s="14"/>
    </row>
    <row r="69" spans="7:55" x14ac:dyDescent="0.35">
      <c r="G69" s="13"/>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s="14"/>
    </row>
    <row r="70" spans="7:55" x14ac:dyDescent="0.35">
      <c r="G70" s="13"/>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s="14"/>
    </row>
    <row r="71" spans="7:55" x14ac:dyDescent="0.35">
      <c r="G71" s="13"/>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s="14"/>
    </row>
    <row r="72" spans="7:55" x14ac:dyDescent="0.35">
      <c r="G72" s="13"/>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s="14"/>
    </row>
    <row r="73" spans="7:55" x14ac:dyDescent="0.35">
      <c r="G73" s="1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s="14"/>
    </row>
    <row r="74" spans="7:55" x14ac:dyDescent="0.35">
      <c r="G74" s="13"/>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s="14"/>
    </row>
    <row r="75" spans="7:55" x14ac:dyDescent="0.35">
      <c r="G75" s="13"/>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s="14"/>
    </row>
    <row r="76" spans="7:55" x14ac:dyDescent="0.35">
      <c r="G76" s="13"/>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s="14"/>
    </row>
    <row r="77" spans="7:55" x14ac:dyDescent="0.35">
      <c r="G77" s="13"/>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s="14"/>
    </row>
    <row r="78" spans="7:55" x14ac:dyDescent="0.35">
      <c r="G78" s="13"/>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s="14"/>
    </row>
    <row r="79" spans="7:55" x14ac:dyDescent="0.35">
      <c r="G79" s="13"/>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s="14"/>
    </row>
    <row r="80" spans="7:55" x14ac:dyDescent="0.35">
      <c r="G80" s="13"/>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s="14"/>
    </row>
    <row r="81" spans="7:55" x14ac:dyDescent="0.35">
      <c r="G81" s="13"/>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s="14"/>
    </row>
    <row r="82" spans="7:55" x14ac:dyDescent="0.35">
      <c r="G82" s="13"/>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s="14"/>
    </row>
    <row r="83" spans="7:55" x14ac:dyDescent="0.35">
      <c r="G83" s="1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s="14"/>
    </row>
    <row r="84" spans="7:55" x14ac:dyDescent="0.35">
      <c r="G84" s="13"/>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s="14"/>
    </row>
    <row r="85" spans="7:55" x14ac:dyDescent="0.35">
      <c r="G85" s="13"/>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s="14"/>
    </row>
    <row r="86" spans="7:55" x14ac:dyDescent="0.35">
      <c r="G86" s="13"/>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s="14"/>
    </row>
    <row r="87" spans="7:55" x14ac:dyDescent="0.35">
      <c r="G87" s="13"/>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s="14"/>
    </row>
    <row r="88" spans="7:55" x14ac:dyDescent="0.35">
      <c r="G88" s="13"/>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s="14"/>
    </row>
    <row r="89" spans="7:55" x14ac:dyDescent="0.35">
      <c r="G89" s="13"/>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s="14"/>
    </row>
    <row r="90" spans="7:55" x14ac:dyDescent="0.35">
      <c r="G90" s="13"/>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s="14"/>
    </row>
    <row r="91" spans="7:55" x14ac:dyDescent="0.35">
      <c r="G91" s="13"/>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s="14"/>
    </row>
    <row r="92" spans="7:55" x14ac:dyDescent="0.35">
      <c r="G92" s="13"/>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s="14"/>
    </row>
    <row r="93" spans="7:55" x14ac:dyDescent="0.35">
      <c r="G93" s="1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s="14"/>
    </row>
    <row r="94" spans="7:55" x14ac:dyDescent="0.35">
      <c r="G94" s="13"/>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s="14"/>
    </row>
    <row r="95" spans="7:55" x14ac:dyDescent="0.35">
      <c r="G95" s="13"/>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s="14"/>
    </row>
    <row r="96" spans="7:55" x14ac:dyDescent="0.35">
      <c r="G96" s="13"/>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s="14"/>
    </row>
    <row r="97" spans="7:55" x14ac:dyDescent="0.35">
      <c r="G97" s="13"/>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s="14"/>
    </row>
    <row r="98" spans="7:55" x14ac:dyDescent="0.35">
      <c r="G98" s="13"/>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s="14"/>
    </row>
    <row r="99" spans="7:55" x14ac:dyDescent="0.35">
      <c r="G99" s="13"/>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s="14"/>
    </row>
    <row r="100" spans="7:55" x14ac:dyDescent="0.35">
      <c r="G100" s="13"/>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s="14"/>
    </row>
    <row r="101" spans="7:55" x14ac:dyDescent="0.35">
      <c r="G101" s="13"/>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s="14"/>
    </row>
    <row r="102" spans="7:55" x14ac:dyDescent="0.35">
      <c r="G102" s="13"/>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s="14"/>
    </row>
    <row r="103" spans="7:55" x14ac:dyDescent="0.35">
      <c r="G103" s="1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s="14"/>
    </row>
    <row r="104" spans="7:55" x14ac:dyDescent="0.35">
      <c r="G104" s="13"/>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s="14"/>
    </row>
    <row r="105" spans="7:55" x14ac:dyDescent="0.35">
      <c r="G105" s="13"/>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s="14"/>
    </row>
    <row r="106" spans="7:55" x14ac:dyDescent="0.35">
      <c r="G106" s="13"/>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s="14"/>
    </row>
    <row r="107" spans="7:55" x14ac:dyDescent="0.35">
      <c r="G107" s="13"/>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s="14"/>
    </row>
    <row r="108" spans="7:55" x14ac:dyDescent="0.35">
      <c r="G108" s="13"/>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s="14"/>
    </row>
    <row r="109" spans="7:55" x14ac:dyDescent="0.35">
      <c r="G109" s="13"/>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s="14"/>
    </row>
    <row r="110" spans="7:55" x14ac:dyDescent="0.35">
      <c r="G110" s="13"/>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s="14"/>
    </row>
    <row r="111" spans="7:55" ht="15" thickBot="1" x14ac:dyDescent="0.4">
      <c r="G111" s="15"/>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7"/>
    </row>
  </sheetData>
  <conditionalFormatting sqref="B22:B51 C23:C41">
    <cfRule type="expression" dxfId="15" priority="2">
      <formula>A22=""</formula>
    </cfRule>
  </conditionalFormatting>
  <conditionalFormatting sqref="C22 C24:C51">
    <cfRule type="expression" dxfId="14" priority="1">
      <formula>A22=""</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31E26-FD3E-4631-84B4-94ED8740A326}">
  <sheetPr>
    <tabColor theme="8" tint="0.79998168889431442"/>
  </sheetPr>
  <dimension ref="A1:E31"/>
  <sheetViews>
    <sheetView workbookViewId="0"/>
  </sheetViews>
  <sheetFormatPr defaultRowHeight="14.5" x14ac:dyDescent="0.35"/>
  <cols>
    <col min="1" max="1" width="85.6328125" customWidth="1"/>
    <col min="2" max="2" width="18.1796875" bestFit="1" customWidth="1"/>
    <col min="3" max="3" width="17.1796875" bestFit="1" customWidth="1"/>
    <col min="4" max="4" width="17" customWidth="1"/>
    <col min="5" max="5" width="50.6328125" customWidth="1"/>
  </cols>
  <sheetData>
    <row r="1" spans="1:5" ht="26" x14ac:dyDescent="0.35">
      <c r="A1" s="404" t="s">
        <v>1546</v>
      </c>
      <c r="B1" s="405" t="s">
        <v>1523</v>
      </c>
      <c r="C1" s="405" t="s">
        <v>1524</v>
      </c>
      <c r="D1" s="405" t="s">
        <v>1525</v>
      </c>
      <c r="E1" s="406" t="s">
        <v>201</v>
      </c>
    </row>
    <row r="2" spans="1:5" x14ac:dyDescent="0.35">
      <c r="A2" s="407" t="s">
        <v>1598</v>
      </c>
      <c r="B2" s="408"/>
      <c r="C2" s="408"/>
      <c r="D2" s="408"/>
      <c r="E2" s="409"/>
    </row>
    <row r="3" spans="1:5" ht="26" x14ac:dyDescent="0.35">
      <c r="A3" s="410" t="s">
        <v>1526</v>
      </c>
      <c r="B3" s="411">
        <v>10312</v>
      </c>
      <c r="C3" s="412">
        <v>0.65200000000000002</v>
      </c>
      <c r="D3" s="412">
        <v>0.34799999999999998</v>
      </c>
      <c r="E3" s="60"/>
    </row>
    <row r="4" spans="1:5" ht="26" x14ac:dyDescent="0.35">
      <c r="A4" s="410" t="s">
        <v>1527</v>
      </c>
      <c r="B4" s="411">
        <v>8428</v>
      </c>
      <c r="C4" s="412">
        <v>0.55800000000000005</v>
      </c>
      <c r="D4" s="412">
        <v>0.442</v>
      </c>
      <c r="E4" s="60"/>
    </row>
    <row r="5" spans="1:5" ht="26" x14ac:dyDescent="0.35">
      <c r="A5" s="410" t="s">
        <v>1528</v>
      </c>
      <c r="B5" s="411">
        <v>10984</v>
      </c>
      <c r="C5" s="412">
        <v>0.72</v>
      </c>
      <c r="D5" s="412">
        <v>0.28000000000000003</v>
      </c>
      <c r="E5" s="60"/>
    </row>
    <row r="6" spans="1:5" ht="26" x14ac:dyDescent="0.35">
      <c r="A6" s="410" t="s">
        <v>1531</v>
      </c>
      <c r="B6" s="413" t="s">
        <v>1536</v>
      </c>
      <c r="C6" s="412">
        <v>0.28999999999999998</v>
      </c>
      <c r="D6" s="412">
        <v>0.71</v>
      </c>
      <c r="E6" s="419" t="s">
        <v>1658</v>
      </c>
    </row>
    <row r="7" spans="1:5" x14ac:dyDescent="0.35">
      <c r="A7" s="410" t="s">
        <v>1535</v>
      </c>
      <c r="B7" s="411">
        <v>7778</v>
      </c>
      <c r="C7" s="412">
        <v>0.64</v>
      </c>
      <c r="D7" s="412">
        <v>0.36</v>
      </c>
      <c r="E7" s="60"/>
    </row>
    <row r="8" spans="1:5" ht="29" hidden="1" x14ac:dyDescent="0.35">
      <c r="A8" s="414" t="s">
        <v>1532</v>
      </c>
      <c r="B8" s="411" t="s">
        <v>351</v>
      </c>
      <c r="C8" s="411" t="s">
        <v>351</v>
      </c>
      <c r="D8" s="411" t="s">
        <v>351</v>
      </c>
      <c r="E8" s="231" t="s">
        <v>1557</v>
      </c>
    </row>
    <row r="9" spans="1:5" hidden="1" x14ac:dyDescent="0.35">
      <c r="A9" s="414" t="s">
        <v>1533</v>
      </c>
      <c r="B9" s="411" t="s">
        <v>351</v>
      </c>
      <c r="C9" s="411" t="s">
        <v>351</v>
      </c>
      <c r="D9" s="411" t="s">
        <v>351</v>
      </c>
      <c r="E9" s="60"/>
    </row>
    <row r="10" spans="1:5" hidden="1" x14ac:dyDescent="0.35">
      <c r="A10" s="414" t="s">
        <v>1534</v>
      </c>
      <c r="B10" s="411" t="s">
        <v>351</v>
      </c>
      <c r="C10" s="411" t="s">
        <v>351</v>
      </c>
      <c r="D10" s="411" t="s">
        <v>351</v>
      </c>
      <c r="E10" s="60"/>
    </row>
    <row r="11" spans="1:5" ht="26" hidden="1" x14ac:dyDescent="0.35">
      <c r="A11" s="414" t="s">
        <v>1529</v>
      </c>
      <c r="B11" s="399" t="s">
        <v>351</v>
      </c>
      <c r="C11" s="411" t="s">
        <v>351</v>
      </c>
      <c r="D11" s="411" t="s">
        <v>1530</v>
      </c>
      <c r="E11" s="60"/>
    </row>
    <row r="12" spans="1:5" x14ac:dyDescent="0.35">
      <c r="A12" s="415" t="s">
        <v>1547</v>
      </c>
      <c r="B12" s="323"/>
      <c r="C12" s="324">
        <f>AVERAGE(C3:C7)</f>
        <v>0.57199999999999995</v>
      </c>
      <c r="D12" s="324">
        <f>AVERAGE(D3:D7)</f>
        <v>0.42800000000000005</v>
      </c>
      <c r="E12" s="325"/>
    </row>
    <row r="13" spans="1:5" x14ac:dyDescent="0.35">
      <c r="A13" s="62"/>
      <c r="E13" s="60"/>
    </row>
    <row r="14" spans="1:5" x14ac:dyDescent="0.35">
      <c r="A14" s="416" t="s">
        <v>1614</v>
      </c>
      <c r="B14" s="408"/>
      <c r="C14" s="408"/>
      <c r="D14" s="408"/>
      <c r="E14" s="409"/>
    </row>
    <row r="15" spans="1:5" ht="39" x14ac:dyDescent="0.35">
      <c r="A15" s="410" t="s">
        <v>1537</v>
      </c>
      <c r="B15" s="411">
        <v>2922</v>
      </c>
      <c r="C15" s="412">
        <v>0.309</v>
      </c>
      <c r="D15" s="412">
        <v>0.69</v>
      </c>
      <c r="E15" s="60"/>
    </row>
    <row r="16" spans="1:5" ht="26" x14ac:dyDescent="0.35">
      <c r="A16" s="410" t="s">
        <v>1538</v>
      </c>
      <c r="B16" s="411">
        <v>9250</v>
      </c>
      <c r="C16" s="412">
        <v>0.75</v>
      </c>
      <c r="D16" s="412">
        <v>0.25</v>
      </c>
      <c r="E16" s="60"/>
    </row>
    <row r="17" spans="1:5" x14ac:dyDescent="0.35">
      <c r="A17" s="415" t="s">
        <v>1548</v>
      </c>
      <c r="B17" s="323"/>
      <c r="C17" s="324">
        <f>AVERAGE(C15:C16)</f>
        <v>0.52949999999999997</v>
      </c>
      <c r="D17" s="324">
        <f>AVERAGE(D15:D16)</f>
        <v>0.47</v>
      </c>
      <c r="E17" s="325"/>
    </row>
    <row r="18" spans="1:5" x14ac:dyDescent="0.35">
      <c r="A18" s="414"/>
      <c r="B18" s="411"/>
      <c r="C18" s="411"/>
      <c r="D18" s="417"/>
      <c r="E18" s="60"/>
    </row>
    <row r="19" spans="1:5" x14ac:dyDescent="0.35">
      <c r="A19" s="62"/>
      <c r="E19" s="60"/>
    </row>
    <row r="20" spans="1:5" ht="26" x14ac:dyDescent="0.35">
      <c r="A20" s="407" t="s">
        <v>1559</v>
      </c>
      <c r="B20" s="408"/>
      <c r="C20" s="408"/>
      <c r="D20" s="408"/>
      <c r="E20" s="409"/>
    </row>
    <row r="21" spans="1:5" ht="26" x14ac:dyDescent="0.35">
      <c r="A21" s="410" t="s">
        <v>1539</v>
      </c>
      <c r="B21" s="411">
        <v>9250</v>
      </c>
      <c r="C21" s="412">
        <v>0.75</v>
      </c>
      <c r="D21" s="412">
        <v>0.25</v>
      </c>
      <c r="E21" s="60"/>
    </row>
    <row r="22" spans="1:5" x14ac:dyDescent="0.35">
      <c r="A22" s="410" t="s">
        <v>1545</v>
      </c>
      <c r="B22" s="411">
        <v>10822</v>
      </c>
      <c r="C22" s="412">
        <v>0.64</v>
      </c>
      <c r="D22" s="412">
        <v>0.35799999999999998</v>
      </c>
      <c r="E22" s="60"/>
    </row>
    <row r="23" spans="1:5" x14ac:dyDescent="0.35">
      <c r="A23" s="410" t="s">
        <v>1535</v>
      </c>
      <c r="B23" s="411">
        <v>7778</v>
      </c>
      <c r="C23" s="412">
        <v>0.64</v>
      </c>
      <c r="D23" s="412">
        <v>0.36</v>
      </c>
      <c r="E23" s="60"/>
    </row>
    <row r="24" spans="1:5" ht="26" x14ac:dyDescent="0.35">
      <c r="A24" s="410" t="s">
        <v>1657</v>
      </c>
      <c r="B24" s="411">
        <v>9735</v>
      </c>
      <c r="C24" s="412">
        <v>0.67</v>
      </c>
      <c r="D24" s="412">
        <v>0.33</v>
      </c>
      <c r="E24" s="60"/>
    </row>
    <row r="25" spans="1:5" hidden="1" x14ac:dyDescent="0.35">
      <c r="A25" s="410" t="s">
        <v>1541</v>
      </c>
      <c r="B25" s="411" t="s">
        <v>351</v>
      </c>
      <c r="C25" s="412" t="s">
        <v>351</v>
      </c>
      <c r="D25" s="412" t="s">
        <v>351</v>
      </c>
      <c r="E25" s="60"/>
    </row>
    <row r="26" spans="1:5" ht="52" hidden="1" x14ac:dyDescent="0.35">
      <c r="A26" s="410" t="s">
        <v>1542</v>
      </c>
      <c r="B26" s="411" t="s">
        <v>351</v>
      </c>
      <c r="C26" s="412" t="s">
        <v>351</v>
      </c>
      <c r="D26" s="412" t="s">
        <v>1543</v>
      </c>
      <c r="E26" s="60"/>
    </row>
    <row r="27" spans="1:5" ht="26" hidden="1" x14ac:dyDescent="0.35">
      <c r="A27" s="410" t="s">
        <v>1544</v>
      </c>
      <c r="B27" s="411" t="s">
        <v>351</v>
      </c>
      <c r="C27" s="412" t="s">
        <v>351</v>
      </c>
      <c r="D27" s="412" t="s">
        <v>351</v>
      </c>
      <c r="E27" s="60"/>
    </row>
    <row r="28" spans="1:5" ht="26" hidden="1" x14ac:dyDescent="0.35">
      <c r="A28" s="410" t="s">
        <v>1540</v>
      </c>
      <c r="B28" s="411" t="s">
        <v>351</v>
      </c>
      <c r="C28" s="412" t="s">
        <v>351</v>
      </c>
      <c r="D28" s="412" t="s">
        <v>351</v>
      </c>
      <c r="E28" s="60"/>
    </row>
    <row r="29" spans="1:5" x14ac:dyDescent="0.35">
      <c r="A29" s="415" t="s">
        <v>1549</v>
      </c>
      <c r="B29" s="323"/>
      <c r="C29" s="324">
        <f>AVERAGE(C21:C24)</f>
        <v>0.67500000000000004</v>
      </c>
      <c r="D29" s="324">
        <f>AVERAGE(D21:D24)</f>
        <v>0.32450000000000001</v>
      </c>
      <c r="E29" s="325"/>
    </row>
    <row r="30" spans="1:5" x14ac:dyDescent="0.35">
      <c r="A30" s="58"/>
      <c r="B30" s="58"/>
      <c r="C30" s="58"/>
      <c r="D30" s="58"/>
      <c r="E30" s="58"/>
    </row>
    <row r="31" spans="1:5" x14ac:dyDescent="0.35">
      <c r="A31" s="418"/>
    </row>
  </sheetData>
  <hyperlinks>
    <hyperlink ref="A26" location="_ftn1" display="_ftn1" xr:uid="{BEE1B4D5-FAB7-4AE2-8C89-B96AB94BFD24}"/>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C0EAD-F399-404A-AC55-1A7ABF3911AD}">
  <sheetPr>
    <tabColor theme="4" tint="0.79998168889431442"/>
  </sheetPr>
  <dimension ref="A2:T15"/>
  <sheetViews>
    <sheetView showGridLines="0" workbookViewId="0"/>
  </sheetViews>
  <sheetFormatPr defaultRowHeight="14.5" x14ac:dyDescent="0.35"/>
  <cols>
    <col min="1" max="1" width="20.7265625" bestFit="1" customWidth="1"/>
    <col min="2" max="2" width="17.1796875" bestFit="1" customWidth="1"/>
    <col min="3" max="3" width="30.453125" bestFit="1" customWidth="1"/>
    <col min="4" max="4" width="30.7265625" bestFit="1" customWidth="1"/>
    <col min="5" max="5" width="23.26953125" bestFit="1" customWidth="1"/>
    <col min="6" max="6" width="34.08984375" bestFit="1" customWidth="1"/>
    <col min="7" max="7" width="3.6328125" customWidth="1"/>
    <col min="8" max="8" width="20.7265625" bestFit="1" customWidth="1"/>
    <col min="9" max="9" width="17.1796875" bestFit="1" customWidth="1"/>
    <col min="10" max="10" width="30.453125" bestFit="1" customWidth="1"/>
    <col min="11" max="11" width="30.7265625" bestFit="1" customWidth="1"/>
    <col min="12" max="12" width="23.26953125" bestFit="1" customWidth="1"/>
    <col min="13" max="13" width="34.08984375" bestFit="1" customWidth="1"/>
    <col min="14" max="14" width="2.6328125" customWidth="1"/>
    <col min="15" max="15" width="20.7265625" bestFit="1" customWidth="1"/>
    <col min="16" max="16" width="17.1796875" bestFit="1" customWidth="1"/>
    <col min="17" max="17" width="30.453125" bestFit="1" customWidth="1"/>
    <col min="18" max="18" width="30.7265625" bestFit="1" customWidth="1"/>
    <col min="19" max="19" width="23.26953125" bestFit="1" customWidth="1"/>
    <col min="20" max="21" width="34.08984375" bestFit="1" customWidth="1"/>
    <col min="22" max="22" width="17.1796875" bestFit="1" customWidth="1"/>
    <col min="23" max="23" width="30.453125" bestFit="1" customWidth="1"/>
    <col min="24" max="24" width="30.7265625" bestFit="1" customWidth="1"/>
    <col min="25" max="25" width="23.26953125" bestFit="1" customWidth="1"/>
    <col min="26" max="26" width="34.08984375" bestFit="1" customWidth="1"/>
    <col min="27" max="27" width="17.1796875" bestFit="1" customWidth="1"/>
    <col min="28" max="28" width="30.453125" bestFit="1" customWidth="1"/>
    <col min="29" max="29" width="30.7265625" bestFit="1" customWidth="1"/>
    <col min="30" max="30" width="23.26953125" bestFit="1" customWidth="1"/>
    <col min="31" max="31" width="34.08984375" bestFit="1" customWidth="1"/>
    <col min="32" max="32" width="17.1796875" bestFit="1" customWidth="1"/>
    <col min="33" max="33" width="30.453125" bestFit="1" customWidth="1"/>
    <col min="34" max="34" width="30.7265625" bestFit="1" customWidth="1"/>
    <col min="35" max="35" width="23.26953125" bestFit="1" customWidth="1"/>
    <col min="36" max="36" width="34.08984375" bestFit="1" customWidth="1"/>
    <col min="37" max="37" width="17.1796875" bestFit="1" customWidth="1"/>
    <col min="38" max="38" width="30.453125" bestFit="1" customWidth="1"/>
    <col min="39" max="39" width="30.7265625" bestFit="1" customWidth="1"/>
    <col min="40" max="40" width="23.26953125" bestFit="1" customWidth="1"/>
    <col min="41" max="41" width="34.08984375" bestFit="1" customWidth="1"/>
    <col min="42" max="42" width="17.1796875" bestFit="1" customWidth="1"/>
    <col min="43" max="43" width="30.453125" bestFit="1" customWidth="1"/>
    <col min="44" max="44" width="30.7265625" bestFit="1" customWidth="1"/>
    <col min="45" max="45" width="23.26953125" bestFit="1" customWidth="1"/>
    <col min="46" max="46" width="34.08984375" bestFit="1" customWidth="1"/>
    <col min="47" max="47" width="17.1796875" bestFit="1" customWidth="1"/>
    <col min="48" max="48" width="30.453125" bestFit="1" customWidth="1"/>
    <col min="49" max="49" width="30.7265625" bestFit="1" customWidth="1"/>
    <col min="50" max="50" width="23.26953125" bestFit="1" customWidth="1"/>
    <col min="51" max="51" width="34.08984375" bestFit="1" customWidth="1"/>
    <col min="52" max="52" width="17.1796875" bestFit="1" customWidth="1"/>
    <col min="53" max="53" width="30.453125" bestFit="1" customWidth="1"/>
    <col min="54" max="54" width="30.7265625" bestFit="1" customWidth="1"/>
    <col min="55" max="55" width="23.26953125" bestFit="1" customWidth="1"/>
    <col min="56" max="56" width="34.08984375" bestFit="1" customWidth="1"/>
    <col min="57" max="57" width="22" bestFit="1" customWidth="1"/>
    <col min="58" max="58" width="35.26953125" bestFit="1" customWidth="1"/>
    <col min="59" max="59" width="35.54296875" bestFit="1" customWidth="1"/>
    <col min="60" max="60" width="28.08984375" bestFit="1" customWidth="1"/>
    <col min="61" max="61" width="38.90625" bestFit="1" customWidth="1"/>
    <col min="62" max="63" width="1.81640625" bestFit="1" customWidth="1"/>
    <col min="64" max="64" width="9.54296875" bestFit="1" customWidth="1"/>
    <col min="65" max="65" width="6.6328125" bestFit="1" customWidth="1"/>
    <col min="66" max="66" width="2.81640625" bestFit="1" customWidth="1"/>
    <col min="67" max="70" width="1.81640625" bestFit="1" customWidth="1"/>
    <col min="71" max="71" width="9.54296875" bestFit="1" customWidth="1"/>
    <col min="72" max="72" width="6.6328125" bestFit="1" customWidth="1"/>
    <col min="73" max="73" width="1.81640625" bestFit="1" customWidth="1"/>
    <col min="74" max="74" width="9.54296875" bestFit="1" customWidth="1"/>
    <col min="75" max="75" width="10.7265625" bestFit="1" customWidth="1"/>
    <col min="76" max="76" width="1.81640625" bestFit="1" customWidth="1"/>
    <col min="77" max="77" width="6.54296875" bestFit="1" customWidth="1"/>
    <col min="78" max="78" width="3.6328125" bestFit="1" customWidth="1"/>
    <col min="79" max="79" width="1.81640625" bestFit="1" customWidth="1"/>
    <col min="80" max="80" width="6.54296875" bestFit="1" customWidth="1"/>
    <col min="81" max="81" width="3.6328125" bestFit="1" customWidth="1"/>
    <col min="82" max="82" width="6.54296875" bestFit="1" customWidth="1"/>
    <col min="83" max="83" width="9.54296875" bestFit="1" customWidth="1"/>
    <col min="84" max="84" width="6.6328125" bestFit="1" customWidth="1"/>
    <col min="85" max="85" width="2.81640625" bestFit="1" customWidth="1"/>
    <col min="86" max="86" width="1.81640625" bestFit="1" customWidth="1"/>
    <col min="87" max="87" width="6.54296875" bestFit="1" customWidth="1"/>
    <col min="88" max="88" width="3.6328125" bestFit="1" customWidth="1"/>
    <col min="89" max="90" width="1.81640625" bestFit="1" customWidth="1"/>
    <col min="91" max="91" width="6.54296875" bestFit="1" customWidth="1"/>
    <col min="92" max="92" width="3.6328125" bestFit="1" customWidth="1"/>
    <col min="93" max="93" width="1.81640625" bestFit="1" customWidth="1"/>
    <col min="94" max="94" width="6.54296875" bestFit="1" customWidth="1"/>
    <col min="95" max="95" width="9.54296875" bestFit="1" customWidth="1"/>
    <col min="96" max="96" width="6.6328125" bestFit="1" customWidth="1"/>
    <col min="97" max="97" width="1.81640625" bestFit="1" customWidth="1"/>
    <col min="98" max="98" width="2.81640625" bestFit="1" customWidth="1"/>
    <col min="99" max="101" width="1.81640625" bestFit="1" customWidth="1"/>
    <col min="102" max="102" width="6.54296875" bestFit="1" customWidth="1"/>
    <col min="103" max="103" width="3.6328125" bestFit="1" customWidth="1"/>
    <col min="104" max="104" width="6.54296875" bestFit="1" customWidth="1"/>
    <col min="105" max="105" width="9.54296875" bestFit="1" customWidth="1"/>
    <col min="106" max="106" width="6.6328125" bestFit="1" customWidth="1"/>
    <col min="107" max="107" width="1.81640625" bestFit="1" customWidth="1"/>
    <col min="108" max="108" width="2.81640625" bestFit="1" customWidth="1"/>
    <col min="109" max="112" width="1.81640625" bestFit="1" customWidth="1"/>
    <col min="113" max="113" width="6.54296875" bestFit="1" customWidth="1"/>
    <col min="114" max="114" width="3.6328125" bestFit="1" customWidth="1"/>
    <col min="115" max="116" width="1.81640625" bestFit="1" customWidth="1"/>
    <col min="117" max="117" width="6.54296875" bestFit="1" customWidth="1"/>
    <col min="118" max="118" width="3.6328125" bestFit="1" customWidth="1"/>
    <col min="119" max="119" width="6.54296875" bestFit="1" customWidth="1"/>
    <col min="120" max="120" width="9.54296875" bestFit="1" customWidth="1"/>
    <col min="121" max="121" width="6.6328125" bestFit="1" customWidth="1"/>
    <col min="122" max="122" width="2.81640625" bestFit="1" customWidth="1"/>
    <col min="123" max="126" width="1.81640625" bestFit="1" customWidth="1"/>
    <col min="127" max="127" width="6.54296875" bestFit="1" customWidth="1"/>
    <col min="128" max="128" width="3.6328125" bestFit="1" customWidth="1"/>
    <col min="129" max="129" width="6.54296875" bestFit="1" customWidth="1"/>
    <col min="130" max="130" width="3.6328125" bestFit="1" customWidth="1"/>
    <col min="131" max="131" width="6.54296875" bestFit="1" customWidth="1"/>
    <col min="132" max="132" width="9.54296875" bestFit="1" customWidth="1"/>
    <col min="133" max="133" width="6.6328125" bestFit="1" customWidth="1"/>
    <col min="134" max="134" width="1.81640625" bestFit="1" customWidth="1"/>
    <col min="135" max="135" width="6.54296875" bestFit="1" customWidth="1"/>
    <col min="136" max="136" width="9.54296875" bestFit="1" customWidth="1"/>
    <col min="137" max="137" width="10.7265625" bestFit="1" customWidth="1"/>
    <col min="138" max="138" width="6.54296875" bestFit="1" customWidth="1"/>
    <col min="139" max="139" width="9.54296875" bestFit="1" customWidth="1"/>
    <col min="140" max="140" width="6.6328125" bestFit="1" customWidth="1"/>
    <col min="141" max="141" width="2.81640625" bestFit="1" customWidth="1"/>
    <col min="142" max="145" width="1.81640625" bestFit="1" customWidth="1"/>
    <col min="146" max="146" width="6.54296875" bestFit="1" customWidth="1"/>
    <col min="147" max="147" width="3.6328125" bestFit="1" customWidth="1"/>
    <col min="148" max="149" width="1.81640625" bestFit="1" customWidth="1"/>
    <col min="150" max="150" width="6.54296875" bestFit="1" customWidth="1"/>
    <col min="151" max="151" width="3.6328125" bestFit="1" customWidth="1"/>
    <col min="152" max="153" width="6.54296875" bestFit="1" customWidth="1"/>
    <col min="154" max="154" width="3.6328125" bestFit="1" customWidth="1"/>
    <col min="155" max="155" width="1.81640625" bestFit="1" customWidth="1"/>
    <col min="156" max="156" width="6.54296875" bestFit="1" customWidth="1"/>
    <col min="157" max="157" width="3.6328125" bestFit="1" customWidth="1"/>
    <col min="158" max="158" width="1.81640625" bestFit="1" customWidth="1"/>
    <col min="159" max="160" width="6.54296875" bestFit="1" customWidth="1"/>
    <col min="161" max="161" width="9.54296875" bestFit="1" customWidth="1"/>
    <col min="162" max="162" width="6.6328125" bestFit="1" customWidth="1"/>
    <col min="163" max="163" width="2.81640625" bestFit="1" customWidth="1"/>
    <col min="164" max="167" width="1.81640625" bestFit="1" customWidth="1"/>
    <col min="168" max="168" width="6.54296875" bestFit="1" customWidth="1"/>
    <col min="169" max="169" width="3.6328125" bestFit="1" customWidth="1"/>
    <col min="170" max="170" width="6.54296875" bestFit="1" customWidth="1"/>
    <col min="171" max="171" width="3.6328125" bestFit="1" customWidth="1"/>
    <col min="172" max="173" width="6.54296875" bestFit="1" customWidth="1"/>
    <col min="174" max="174" width="3.6328125" bestFit="1" customWidth="1"/>
    <col min="175" max="175" width="6.54296875" bestFit="1" customWidth="1"/>
    <col min="176" max="176" width="3.6328125" bestFit="1" customWidth="1"/>
    <col min="177" max="178" width="6.54296875" bestFit="1" customWidth="1"/>
    <col min="179" max="179" width="3.6328125" bestFit="1" customWidth="1"/>
    <col min="180" max="181" width="6.54296875" bestFit="1" customWidth="1"/>
    <col min="182" max="182" width="9.54296875" bestFit="1" customWidth="1"/>
    <col min="183" max="183" width="6.6328125" bestFit="1" customWidth="1"/>
    <col min="184" max="184" width="1.81640625" bestFit="1" customWidth="1"/>
    <col min="185" max="186" width="6.54296875" bestFit="1" customWidth="1"/>
    <col min="187" max="187" width="9.54296875" bestFit="1" customWidth="1"/>
    <col min="188" max="188" width="10.7265625" bestFit="1" customWidth="1"/>
    <col min="189" max="202" width="10.453125" bestFit="1" customWidth="1"/>
    <col min="203" max="203" width="9.453125" bestFit="1" customWidth="1"/>
    <col min="204" max="204" width="7.453125" bestFit="1" customWidth="1"/>
    <col min="205" max="208" width="9.453125" bestFit="1" customWidth="1"/>
    <col min="209" max="209" width="9.54296875" bestFit="1" customWidth="1"/>
    <col min="210" max="211" width="10.453125" bestFit="1" customWidth="1"/>
    <col min="212" max="212" width="9.453125" bestFit="1" customWidth="1"/>
    <col min="213" max="215" width="10.453125" bestFit="1" customWidth="1"/>
    <col min="216" max="216" width="9.453125" bestFit="1" customWidth="1"/>
    <col min="217" max="217" width="10.453125" bestFit="1" customWidth="1"/>
    <col min="218" max="218" width="9.453125" bestFit="1" customWidth="1"/>
    <col min="219" max="238" width="10.453125" bestFit="1" customWidth="1"/>
    <col min="239" max="240" width="9.453125" bestFit="1" customWidth="1"/>
    <col min="241" max="241" width="8.453125" bestFit="1" customWidth="1"/>
    <col min="242" max="242" width="9.453125" bestFit="1" customWidth="1"/>
    <col min="243" max="243" width="9.54296875" bestFit="1" customWidth="1"/>
    <col min="244" max="250" width="10.453125" bestFit="1" customWidth="1"/>
    <col min="251" max="251" width="9.453125" bestFit="1" customWidth="1"/>
    <col min="252" max="270" width="10.453125" bestFit="1" customWidth="1"/>
    <col min="271" max="277" width="9.453125" bestFit="1" customWidth="1"/>
    <col min="278" max="278" width="8.453125" bestFit="1" customWidth="1"/>
    <col min="279" max="279" width="9.54296875" bestFit="1" customWidth="1"/>
    <col min="280" max="302" width="10.453125" bestFit="1" customWidth="1"/>
    <col min="303" max="305" width="9.453125" bestFit="1" customWidth="1"/>
    <col min="306" max="307" width="10.453125" bestFit="1" customWidth="1"/>
    <col min="308" max="311" width="9.453125" bestFit="1" customWidth="1"/>
    <col min="312" max="312" width="9.54296875" bestFit="1" customWidth="1"/>
    <col min="313" max="316" width="10.453125" bestFit="1" customWidth="1"/>
    <col min="317" max="317" width="9.453125" bestFit="1" customWidth="1"/>
    <col min="318" max="323" width="10.453125" bestFit="1" customWidth="1"/>
    <col min="324" max="325" width="9.453125" bestFit="1" customWidth="1"/>
    <col min="326" max="329" width="10.453125" bestFit="1" customWidth="1"/>
    <col min="330" max="330" width="9.453125" bestFit="1" customWidth="1"/>
    <col min="331" max="336" width="10.453125" bestFit="1" customWidth="1"/>
    <col min="337" max="337" width="9.453125" bestFit="1" customWidth="1"/>
    <col min="338" max="342" width="10.453125" bestFit="1" customWidth="1"/>
    <col min="343" max="343" width="9.453125" bestFit="1" customWidth="1"/>
    <col min="344" max="344" width="10.453125" bestFit="1" customWidth="1"/>
    <col min="345" max="346" width="9.453125" bestFit="1" customWidth="1"/>
    <col min="347" max="347" width="10.453125" bestFit="1" customWidth="1"/>
    <col min="348" max="352" width="9.453125" bestFit="1" customWidth="1"/>
    <col min="353" max="353" width="9.54296875" bestFit="1" customWidth="1"/>
    <col min="354" max="366" width="10.453125" bestFit="1" customWidth="1"/>
    <col min="367" max="367" width="9.453125" bestFit="1" customWidth="1"/>
    <col min="368" max="369" width="10.453125" bestFit="1" customWidth="1"/>
    <col min="370" max="370" width="9.453125" bestFit="1" customWidth="1"/>
    <col min="371" max="373" width="10.453125" bestFit="1" customWidth="1"/>
    <col min="374" max="374" width="8.453125" bestFit="1" customWidth="1"/>
    <col min="375" max="379" width="9.453125" bestFit="1" customWidth="1"/>
    <col min="380" max="380" width="9.54296875" bestFit="1" customWidth="1"/>
    <col min="381" max="383" width="9.453125" bestFit="1" customWidth="1"/>
    <col min="384" max="384" width="9.54296875" bestFit="1" customWidth="1"/>
    <col min="385" max="385" width="10.7265625" bestFit="1" customWidth="1"/>
    <col min="386" max="386" width="23.08984375" bestFit="1" customWidth="1"/>
    <col min="387" max="387" width="36.36328125" bestFit="1" customWidth="1"/>
    <col min="388" max="388" width="23.08984375" bestFit="1" customWidth="1"/>
    <col min="389" max="389" width="36.36328125" bestFit="1" customWidth="1"/>
    <col min="390" max="390" width="23.08984375" bestFit="1" customWidth="1"/>
    <col min="391" max="391" width="36.36328125" bestFit="1" customWidth="1"/>
    <col min="392" max="392" width="23.08984375" bestFit="1" customWidth="1"/>
    <col min="393" max="393" width="36.36328125" bestFit="1" customWidth="1"/>
    <col min="394" max="394" width="23.08984375" bestFit="1" customWidth="1"/>
    <col min="395" max="395" width="36.36328125" bestFit="1" customWidth="1"/>
    <col min="396" max="396" width="23.08984375" bestFit="1" customWidth="1"/>
    <col min="397" max="397" width="36.36328125" bestFit="1" customWidth="1"/>
    <col min="398" max="398" width="23.08984375" bestFit="1" customWidth="1"/>
    <col min="399" max="399" width="36.36328125" bestFit="1" customWidth="1"/>
    <col min="400" max="400" width="23.08984375" bestFit="1" customWidth="1"/>
    <col min="401" max="401" width="36.36328125" bestFit="1" customWidth="1"/>
    <col min="402" max="402" width="23.08984375" bestFit="1" customWidth="1"/>
    <col min="403" max="403" width="36.36328125" bestFit="1" customWidth="1"/>
    <col min="404" max="404" width="23.08984375" bestFit="1" customWidth="1"/>
    <col min="405" max="405" width="36.36328125" bestFit="1" customWidth="1"/>
    <col min="406" max="406" width="23.08984375" bestFit="1" customWidth="1"/>
    <col min="407" max="407" width="36.36328125" bestFit="1" customWidth="1"/>
    <col min="408" max="408" width="23.08984375" bestFit="1" customWidth="1"/>
    <col min="409" max="409" width="36.36328125" bestFit="1" customWidth="1"/>
    <col min="410" max="410" width="23.08984375" bestFit="1" customWidth="1"/>
    <col min="411" max="411" width="36.36328125" bestFit="1" customWidth="1"/>
    <col min="412" max="412" width="23.08984375" bestFit="1" customWidth="1"/>
    <col min="413" max="413" width="36.36328125" bestFit="1" customWidth="1"/>
    <col min="414" max="414" width="23.08984375" bestFit="1" customWidth="1"/>
    <col min="415" max="415" width="36.36328125" bestFit="1" customWidth="1"/>
    <col min="416" max="416" width="23.08984375" bestFit="1" customWidth="1"/>
    <col min="417" max="417" width="36.36328125" bestFit="1" customWidth="1"/>
    <col min="418" max="418" width="23.08984375" bestFit="1" customWidth="1"/>
    <col min="419" max="419" width="36.36328125" bestFit="1" customWidth="1"/>
    <col min="420" max="420" width="23.08984375" bestFit="1" customWidth="1"/>
    <col min="421" max="421" width="36.36328125" bestFit="1" customWidth="1"/>
    <col min="422" max="422" width="23.08984375" bestFit="1" customWidth="1"/>
    <col min="423" max="423" width="36.36328125" bestFit="1" customWidth="1"/>
    <col min="424" max="424" width="23.08984375" bestFit="1" customWidth="1"/>
    <col min="425" max="425" width="36.36328125" bestFit="1" customWidth="1"/>
    <col min="426" max="426" width="23.08984375" bestFit="1" customWidth="1"/>
    <col min="427" max="427" width="36.36328125" bestFit="1" customWidth="1"/>
    <col min="428" max="428" width="23.08984375" bestFit="1" customWidth="1"/>
    <col min="429" max="429" width="36.36328125" bestFit="1" customWidth="1"/>
    <col min="430" max="430" width="23.08984375" bestFit="1" customWidth="1"/>
    <col min="431" max="431" width="36.36328125" bestFit="1" customWidth="1"/>
    <col min="432" max="432" width="23.08984375" bestFit="1" customWidth="1"/>
    <col min="433" max="433" width="36.36328125" bestFit="1" customWidth="1"/>
    <col min="434" max="434" width="23.08984375" bestFit="1" customWidth="1"/>
    <col min="435" max="435" width="36.36328125" bestFit="1" customWidth="1"/>
    <col min="436" max="436" width="23.08984375" bestFit="1" customWidth="1"/>
    <col min="437" max="437" width="36.36328125" bestFit="1" customWidth="1"/>
    <col min="438" max="438" width="23.08984375" bestFit="1" customWidth="1"/>
    <col min="439" max="439" width="36.36328125" bestFit="1" customWidth="1"/>
    <col min="440" max="440" width="23.08984375" bestFit="1" customWidth="1"/>
    <col min="441" max="441" width="36.36328125" bestFit="1" customWidth="1"/>
    <col min="442" max="442" width="23.08984375" bestFit="1" customWidth="1"/>
    <col min="443" max="443" width="36.36328125" bestFit="1" customWidth="1"/>
    <col min="444" max="444" width="23.08984375" bestFit="1" customWidth="1"/>
    <col min="445" max="445" width="36.36328125" bestFit="1" customWidth="1"/>
    <col min="446" max="446" width="23.08984375" bestFit="1" customWidth="1"/>
    <col min="447" max="447" width="36.36328125" bestFit="1" customWidth="1"/>
    <col min="448" max="448" width="23.08984375" bestFit="1" customWidth="1"/>
    <col min="449" max="449" width="36.36328125" bestFit="1" customWidth="1"/>
    <col min="450" max="450" width="23.08984375" bestFit="1" customWidth="1"/>
    <col min="451" max="451" width="36.36328125" bestFit="1" customWidth="1"/>
    <col min="452" max="452" width="23.08984375" bestFit="1" customWidth="1"/>
    <col min="453" max="453" width="36.36328125" bestFit="1" customWidth="1"/>
    <col min="454" max="454" width="23.08984375" bestFit="1" customWidth="1"/>
    <col min="455" max="455" width="36.36328125" bestFit="1" customWidth="1"/>
    <col min="456" max="456" width="23.08984375" bestFit="1" customWidth="1"/>
    <col min="457" max="457" width="36.36328125" bestFit="1" customWidth="1"/>
    <col min="458" max="458" width="23.08984375" bestFit="1" customWidth="1"/>
    <col min="459" max="459" width="36.36328125" bestFit="1" customWidth="1"/>
    <col min="460" max="460" width="23.08984375" bestFit="1" customWidth="1"/>
    <col min="461" max="461" width="36.36328125" bestFit="1" customWidth="1"/>
    <col min="462" max="462" width="23.08984375" bestFit="1" customWidth="1"/>
    <col min="463" max="463" width="36.36328125" bestFit="1" customWidth="1"/>
    <col min="464" max="464" width="23.08984375" bestFit="1" customWidth="1"/>
    <col min="465" max="465" width="36.36328125" bestFit="1" customWidth="1"/>
    <col min="466" max="466" width="23.08984375" bestFit="1" customWidth="1"/>
    <col min="467" max="467" width="36.36328125" bestFit="1" customWidth="1"/>
    <col min="468" max="468" width="23.08984375" bestFit="1" customWidth="1"/>
    <col min="469" max="469" width="36.36328125" bestFit="1" customWidth="1"/>
    <col min="470" max="470" width="23.08984375" bestFit="1" customWidth="1"/>
    <col min="471" max="471" width="36.36328125" bestFit="1" customWidth="1"/>
    <col min="472" max="472" width="23.08984375" bestFit="1" customWidth="1"/>
    <col min="473" max="473" width="36.36328125" bestFit="1" customWidth="1"/>
    <col min="474" max="474" width="23.08984375" bestFit="1" customWidth="1"/>
    <col min="475" max="475" width="36.36328125" bestFit="1" customWidth="1"/>
    <col min="476" max="476" width="23.08984375" bestFit="1" customWidth="1"/>
    <col min="477" max="477" width="36.36328125" bestFit="1" customWidth="1"/>
    <col min="478" max="478" width="23.08984375" bestFit="1" customWidth="1"/>
    <col min="479" max="479" width="36.36328125" bestFit="1" customWidth="1"/>
    <col min="480" max="480" width="23.08984375" bestFit="1" customWidth="1"/>
    <col min="481" max="481" width="36.36328125" bestFit="1" customWidth="1"/>
    <col min="482" max="482" width="23.08984375" bestFit="1" customWidth="1"/>
    <col min="483" max="483" width="36.36328125" bestFit="1" customWidth="1"/>
    <col min="484" max="484" width="23.08984375" bestFit="1" customWidth="1"/>
    <col min="485" max="485" width="36.36328125" bestFit="1" customWidth="1"/>
    <col min="486" max="486" width="23.08984375" bestFit="1" customWidth="1"/>
    <col min="487" max="487" width="36.36328125" bestFit="1" customWidth="1"/>
    <col min="488" max="488" width="23.08984375" bestFit="1" customWidth="1"/>
    <col min="489" max="489" width="36.36328125" bestFit="1" customWidth="1"/>
    <col min="490" max="490" width="23.08984375" bestFit="1" customWidth="1"/>
    <col min="491" max="491" width="36.36328125" bestFit="1" customWidth="1"/>
    <col min="492" max="492" width="23.08984375" bestFit="1" customWidth="1"/>
    <col min="493" max="493" width="36.36328125" bestFit="1" customWidth="1"/>
    <col min="494" max="494" width="23.08984375" bestFit="1" customWidth="1"/>
    <col min="495" max="495" width="36.36328125" bestFit="1" customWidth="1"/>
    <col min="496" max="496" width="23.08984375" bestFit="1" customWidth="1"/>
    <col min="497" max="497" width="36.36328125" bestFit="1" customWidth="1"/>
    <col min="498" max="498" width="23.08984375" bestFit="1" customWidth="1"/>
    <col min="499" max="499" width="36.36328125" bestFit="1" customWidth="1"/>
    <col min="500" max="500" width="23.08984375" bestFit="1" customWidth="1"/>
    <col min="501" max="501" width="36.36328125" bestFit="1" customWidth="1"/>
    <col min="502" max="502" width="23.08984375" bestFit="1" customWidth="1"/>
    <col min="503" max="503" width="36.36328125" bestFit="1" customWidth="1"/>
    <col min="504" max="504" width="23.08984375" bestFit="1" customWidth="1"/>
    <col min="505" max="505" width="36.36328125" bestFit="1" customWidth="1"/>
    <col min="506" max="506" width="23.08984375" bestFit="1" customWidth="1"/>
    <col min="507" max="507" width="36.36328125" bestFit="1" customWidth="1"/>
    <col min="508" max="508" width="23.08984375" bestFit="1" customWidth="1"/>
    <col min="509" max="509" width="36.36328125" bestFit="1" customWidth="1"/>
    <col min="510" max="510" width="23.08984375" bestFit="1" customWidth="1"/>
    <col min="511" max="511" width="36.36328125" bestFit="1" customWidth="1"/>
    <col min="512" max="512" width="23.08984375" bestFit="1" customWidth="1"/>
    <col min="513" max="513" width="36.36328125" bestFit="1" customWidth="1"/>
    <col min="514" max="514" width="23.08984375" bestFit="1" customWidth="1"/>
    <col min="515" max="515" width="36.36328125" bestFit="1" customWidth="1"/>
    <col min="516" max="516" width="23.08984375" bestFit="1" customWidth="1"/>
    <col min="517" max="517" width="36.36328125" bestFit="1" customWidth="1"/>
    <col min="518" max="518" width="23.08984375" bestFit="1" customWidth="1"/>
    <col min="519" max="519" width="36.36328125" bestFit="1" customWidth="1"/>
    <col min="520" max="520" width="23.08984375" bestFit="1" customWidth="1"/>
    <col min="521" max="521" width="36.36328125" bestFit="1" customWidth="1"/>
    <col min="522" max="522" width="23.08984375" bestFit="1" customWidth="1"/>
    <col min="523" max="523" width="36.36328125" bestFit="1" customWidth="1"/>
    <col min="524" max="524" width="23.08984375" bestFit="1" customWidth="1"/>
    <col min="525" max="525" width="36.36328125" bestFit="1" customWidth="1"/>
    <col min="526" max="526" width="23.08984375" bestFit="1" customWidth="1"/>
    <col min="527" max="527" width="36.36328125" bestFit="1" customWidth="1"/>
    <col min="528" max="528" width="23.08984375" bestFit="1" customWidth="1"/>
    <col min="529" max="529" width="36.36328125" bestFit="1" customWidth="1"/>
    <col min="530" max="530" width="23.08984375" bestFit="1" customWidth="1"/>
    <col min="531" max="531" width="36.36328125" bestFit="1" customWidth="1"/>
    <col min="532" max="532" width="23.08984375" bestFit="1" customWidth="1"/>
    <col min="533" max="533" width="36.36328125" bestFit="1" customWidth="1"/>
    <col min="534" max="534" width="23.08984375" bestFit="1" customWidth="1"/>
    <col min="535" max="535" width="36.36328125" bestFit="1" customWidth="1"/>
    <col min="536" max="536" width="23.08984375" bestFit="1" customWidth="1"/>
    <col min="537" max="537" width="36.36328125" bestFit="1" customWidth="1"/>
    <col min="538" max="538" width="23.08984375" bestFit="1" customWidth="1"/>
    <col min="539" max="539" width="36.36328125" bestFit="1" customWidth="1"/>
    <col min="540" max="540" width="23.08984375" bestFit="1" customWidth="1"/>
    <col min="541" max="541" width="36.36328125" bestFit="1" customWidth="1"/>
    <col min="542" max="542" width="23.08984375" bestFit="1" customWidth="1"/>
    <col min="543" max="543" width="36.36328125" bestFit="1" customWidth="1"/>
    <col min="544" max="544" width="23.08984375" bestFit="1" customWidth="1"/>
    <col min="545" max="545" width="36.36328125" bestFit="1" customWidth="1"/>
    <col min="546" max="546" width="23.08984375" bestFit="1" customWidth="1"/>
    <col min="547" max="547" width="36.36328125" bestFit="1" customWidth="1"/>
    <col min="548" max="548" width="23.08984375" bestFit="1" customWidth="1"/>
    <col min="549" max="549" width="36.36328125" bestFit="1" customWidth="1"/>
    <col min="550" max="550" width="23.08984375" bestFit="1" customWidth="1"/>
    <col min="551" max="551" width="36.36328125" bestFit="1" customWidth="1"/>
    <col min="552" max="552" width="23.08984375" bestFit="1" customWidth="1"/>
    <col min="553" max="553" width="36.36328125" bestFit="1" customWidth="1"/>
    <col min="554" max="554" width="23.08984375" bestFit="1" customWidth="1"/>
    <col min="555" max="555" width="36.36328125" bestFit="1" customWidth="1"/>
    <col min="556" max="556" width="23.08984375" bestFit="1" customWidth="1"/>
    <col min="557" max="557" width="36.36328125" bestFit="1" customWidth="1"/>
    <col min="558" max="558" width="23.08984375" bestFit="1" customWidth="1"/>
    <col min="559" max="559" width="36.36328125" bestFit="1" customWidth="1"/>
    <col min="560" max="560" width="23.08984375" bestFit="1" customWidth="1"/>
    <col min="561" max="561" width="36.36328125" bestFit="1" customWidth="1"/>
    <col min="562" max="562" width="23.08984375" bestFit="1" customWidth="1"/>
    <col min="563" max="563" width="36.36328125" bestFit="1" customWidth="1"/>
    <col min="564" max="564" width="23.08984375" bestFit="1" customWidth="1"/>
    <col min="565" max="565" width="36.36328125" bestFit="1" customWidth="1"/>
    <col min="566" max="566" width="23.08984375" bestFit="1" customWidth="1"/>
    <col min="567" max="567" width="36.36328125" bestFit="1" customWidth="1"/>
    <col min="568" max="568" width="23.08984375" bestFit="1" customWidth="1"/>
    <col min="569" max="569" width="36.36328125" bestFit="1" customWidth="1"/>
    <col min="570" max="570" width="23.08984375" bestFit="1" customWidth="1"/>
    <col min="571" max="571" width="36.36328125" bestFit="1" customWidth="1"/>
    <col min="572" max="572" width="23.08984375" bestFit="1" customWidth="1"/>
    <col min="573" max="573" width="36.36328125" bestFit="1" customWidth="1"/>
    <col min="574" max="574" width="23.08984375" bestFit="1" customWidth="1"/>
    <col min="575" max="575" width="36.36328125" bestFit="1" customWidth="1"/>
    <col min="576" max="576" width="23.08984375" bestFit="1" customWidth="1"/>
    <col min="577" max="577" width="36.36328125" bestFit="1" customWidth="1"/>
    <col min="578" max="578" width="23.08984375" bestFit="1" customWidth="1"/>
    <col min="579" max="579" width="36.36328125" bestFit="1" customWidth="1"/>
    <col min="580" max="580" width="23.08984375" bestFit="1" customWidth="1"/>
    <col min="581" max="581" width="36.36328125" bestFit="1" customWidth="1"/>
    <col min="582" max="582" width="23.08984375" bestFit="1" customWidth="1"/>
    <col min="583" max="583" width="36.36328125" bestFit="1" customWidth="1"/>
    <col min="584" max="584" width="23.08984375" bestFit="1" customWidth="1"/>
    <col min="585" max="585" width="36.36328125" bestFit="1" customWidth="1"/>
    <col min="586" max="586" width="23.08984375" bestFit="1" customWidth="1"/>
    <col min="587" max="587" width="36.36328125" bestFit="1" customWidth="1"/>
    <col min="588" max="588" width="23.08984375" bestFit="1" customWidth="1"/>
    <col min="589" max="589" width="36.36328125" bestFit="1" customWidth="1"/>
    <col min="590" max="590" width="23.08984375" bestFit="1" customWidth="1"/>
    <col min="591" max="591" width="36.36328125" bestFit="1" customWidth="1"/>
    <col min="592" max="592" width="23.08984375" bestFit="1" customWidth="1"/>
    <col min="593" max="593" width="36.36328125" bestFit="1" customWidth="1"/>
    <col min="594" max="594" width="23.08984375" bestFit="1" customWidth="1"/>
    <col min="595" max="595" width="36.36328125" bestFit="1" customWidth="1"/>
    <col min="596" max="596" width="23.08984375" bestFit="1" customWidth="1"/>
    <col min="597" max="597" width="36.36328125" bestFit="1" customWidth="1"/>
    <col min="598" max="598" width="23.08984375" bestFit="1" customWidth="1"/>
    <col min="599" max="599" width="36.36328125" bestFit="1" customWidth="1"/>
    <col min="600" max="600" width="23.08984375" bestFit="1" customWidth="1"/>
    <col min="601" max="601" width="36.36328125" bestFit="1" customWidth="1"/>
    <col min="602" max="602" width="23.08984375" bestFit="1" customWidth="1"/>
    <col min="603" max="603" width="36.36328125" bestFit="1" customWidth="1"/>
    <col min="604" max="604" width="23.08984375" bestFit="1" customWidth="1"/>
    <col min="605" max="605" width="36.36328125" bestFit="1" customWidth="1"/>
    <col min="606" max="606" width="23.08984375" bestFit="1" customWidth="1"/>
    <col min="607" max="607" width="36.36328125" bestFit="1" customWidth="1"/>
    <col min="608" max="608" width="23.08984375" bestFit="1" customWidth="1"/>
    <col min="609" max="609" width="36.36328125" bestFit="1" customWidth="1"/>
    <col min="610" max="610" width="23.08984375" bestFit="1" customWidth="1"/>
    <col min="611" max="611" width="36.36328125" bestFit="1" customWidth="1"/>
    <col min="612" max="612" width="23.08984375" bestFit="1" customWidth="1"/>
    <col min="613" max="613" width="36.36328125" bestFit="1" customWidth="1"/>
    <col min="614" max="614" width="23.08984375" bestFit="1" customWidth="1"/>
    <col min="615" max="615" width="36.36328125" bestFit="1" customWidth="1"/>
    <col min="616" max="616" width="23.08984375" bestFit="1" customWidth="1"/>
    <col min="617" max="617" width="36.36328125" bestFit="1" customWidth="1"/>
    <col min="618" max="618" width="23.08984375" bestFit="1" customWidth="1"/>
    <col min="619" max="619" width="36.36328125" bestFit="1" customWidth="1"/>
    <col min="620" max="620" width="23.08984375" bestFit="1" customWidth="1"/>
    <col min="621" max="621" width="36.36328125" bestFit="1" customWidth="1"/>
    <col min="622" max="622" width="23.08984375" bestFit="1" customWidth="1"/>
    <col min="623" max="623" width="36.36328125" bestFit="1" customWidth="1"/>
    <col min="624" max="624" width="23.08984375" bestFit="1" customWidth="1"/>
    <col min="625" max="625" width="36.36328125" bestFit="1" customWidth="1"/>
    <col min="626" max="626" width="23.08984375" bestFit="1" customWidth="1"/>
    <col min="627" max="627" width="36.36328125" bestFit="1" customWidth="1"/>
    <col min="628" max="628" width="23.08984375" bestFit="1" customWidth="1"/>
    <col min="629" max="629" width="36.36328125" bestFit="1" customWidth="1"/>
    <col min="630" max="630" width="23.08984375" bestFit="1" customWidth="1"/>
    <col min="631" max="631" width="36.36328125" bestFit="1" customWidth="1"/>
    <col min="632" max="632" width="23.08984375" bestFit="1" customWidth="1"/>
    <col min="633" max="633" width="36.36328125" bestFit="1" customWidth="1"/>
    <col min="634" max="634" width="23.08984375" bestFit="1" customWidth="1"/>
    <col min="635" max="635" width="36.36328125" bestFit="1" customWidth="1"/>
    <col min="636" max="636" width="23.08984375" bestFit="1" customWidth="1"/>
    <col min="637" max="637" width="36.36328125" bestFit="1" customWidth="1"/>
    <col min="638" max="638" width="23.08984375" bestFit="1" customWidth="1"/>
    <col min="639" max="639" width="36.36328125" bestFit="1" customWidth="1"/>
    <col min="640" max="640" width="23.08984375" bestFit="1" customWidth="1"/>
    <col min="641" max="641" width="36.36328125" bestFit="1" customWidth="1"/>
    <col min="642" max="642" width="23.08984375" bestFit="1" customWidth="1"/>
    <col min="643" max="643" width="36.36328125" bestFit="1" customWidth="1"/>
    <col min="644" max="644" width="23.08984375" bestFit="1" customWidth="1"/>
    <col min="645" max="645" width="36.36328125" bestFit="1" customWidth="1"/>
    <col min="646" max="646" width="23.08984375" bestFit="1" customWidth="1"/>
    <col min="647" max="647" width="36.36328125" bestFit="1" customWidth="1"/>
    <col min="648" max="648" width="23.08984375" bestFit="1" customWidth="1"/>
    <col min="649" max="649" width="36.36328125" bestFit="1" customWidth="1"/>
    <col min="650" max="650" width="23.08984375" bestFit="1" customWidth="1"/>
    <col min="651" max="651" width="36.36328125" bestFit="1" customWidth="1"/>
    <col min="652" max="652" width="23.08984375" bestFit="1" customWidth="1"/>
    <col min="653" max="653" width="36.36328125" bestFit="1" customWidth="1"/>
    <col min="654" max="654" width="23.08984375" bestFit="1" customWidth="1"/>
    <col min="655" max="655" width="36.36328125" bestFit="1" customWidth="1"/>
    <col min="656" max="656" width="23.08984375" bestFit="1" customWidth="1"/>
    <col min="657" max="657" width="36.36328125" bestFit="1" customWidth="1"/>
    <col min="658" max="658" width="23.08984375" bestFit="1" customWidth="1"/>
    <col min="659" max="659" width="36.36328125" bestFit="1" customWidth="1"/>
    <col min="660" max="660" width="23.08984375" bestFit="1" customWidth="1"/>
    <col min="661" max="661" width="36.36328125" bestFit="1" customWidth="1"/>
    <col min="662" max="662" width="23.08984375" bestFit="1" customWidth="1"/>
    <col min="663" max="663" width="36.36328125" bestFit="1" customWidth="1"/>
    <col min="664" max="664" width="23.08984375" bestFit="1" customWidth="1"/>
    <col min="665" max="665" width="36.36328125" bestFit="1" customWidth="1"/>
    <col min="666" max="666" width="23.08984375" bestFit="1" customWidth="1"/>
    <col min="667" max="667" width="36.36328125" bestFit="1" customWidth="1"/>
    <col min="668" max="668" width="23.08984375" bestFit="1" customWidth="1"/>
    <col min="669" max="669" width="36.36328125" bestFit="1" customWidth="1"/>
    <col min="670" max="670" width="23.08984375" bestFit="1" customWidth="1"/>
    <col min="671" max="671" width="36.36328125" bestFit="1" customWidth="1"/>
    <col min="672" max="672" width="23.08984375" bestFit="1" customWidth="1"/>
    <col min="673" max="673" width="36.36328125" bestFit="1" customWidth="1"/>
    <col min="674" max="674" width="23.08984375" bestFit="1" customWidth="1"/>
    <col min="675" max="675" width="36.36328125" bestFit="1" customWidth="1"/>
    <col min="676" max="676" width="23.08984375" bestFit="1" customWidth="1"/>
    <col min="677" max="677" width="36.36328125" bestFit="1" customWidth="1"/>
    <col min="678" max="678" width="23.08984375" bestFit="1" customWidth="1"/>
    <col min="679" max="679" width="36.36328125" bestFit="1" customWidth="1"/>
    <col min="680" max="680" width="23.08984375" bestFit="1" customWidth="1"/>
    <col min="681" max="681" width="36.36328125" bestFit="1" customWidth="1"/>
    <col min="682" max="682" width="23.08984375" bestFit="1" customWidth="1"/>
    <col min="683" max="683" width="36.36328125" bestFit="1" customWidth="1"/>
    <col min="684" max="684" width="23.08984375" bestFit="1" customWidth="1"/>
    <col min="685" max="685" width="36.36328125" bestFit="1" customWidth="1"/>
    <col min="686" max="686" width="23.08984375" bestFit="1" customWidth="1"/>
    <col min="687" max="687" width="36.36328125" bestFit="1" customWidth="1"/>
    <col min="688" max="688" width="23.08984375" bestFit="1" customWidth="1"/>
    <col min="689" max="689" width="36.36328125" bestFit="1" customWidth="1"/>
    <col min="690" max="690" width="23.08984375" bestFit="1" customWidth="1"/>
    <col min="691" max="691" width="36.36328125" bestFit="1" customWidth="1"/>
    <col min="692" max="692" width="23.08984375" bestFit="1" customWidth="1"/>
    <col min="693" max="693" width="36.36328125" bestFit="1" customWidth="1"/>
    <col min="694" max="694" width="23.08984375" bestFit="1" customWidth="1"/>
    <col min="695" max="695" width="36.36328125" bestFit="1" customWidth="1"/>
    <col min="696" max="696" width="23.08984375" bestFit="1" customWidth="1"/>
    <col min="697" max="697" width="36.36328125" bestFit="1" customWidth="1"/>
    <col min="698" max="698" width="23.08984375" bestFit="1" customWidth="1"/>
    <col min="699" max="699" width="36.36328125" bestFit="1" customWidth="1"/>
    <col min="700" max="700" width="23.08984375" bestFit="1" customWidth="1"/>
    <col min="701" max="701" width="36.36328125" bestFit="1" customWidth="1"/>
    <col min="702" max="702" width="23.08984375" bestFit="1" customWidth="1"/>
    <col min="703" max="703" width="36.36328125" bestFit="1" customWidth="1"/>
    <col min="704" max="704" width="23.08984375" bestFit="1" customWidth="1"/>
    <col min="705" max="705" width="36.36328125" bestFit="1" customWidth="1"/>
    <col min="706" max="706" width="23.08984375" bestFit="1" customWidth="1"/>
    <col min="707" max="707" width="36.36328125" bestFit="1" customWidth="1"/>
    <col min="708" max="708" width="23.08984375" bestFit="1" customWidth="1"/>
    <col min="709" max="709" width="36.36328125" bestFit="1" customWidth="1"/>
    <col min="710" max="710" width="23.08984375" bestFit="1" customWidth="1"/>
    <col min="711" max="711" width="36.36328125" bestFit="1" customWidth="1"/>
    <col min="712" max="712" width="23.08984375" bestFit="1" customWidth="1"/>
    <col min="713" max="713" width="36.36328125" bestFit="1" customWidth="1"/>
    <col min="714" max="714" width="23.08984375" bestFit="1" customWidth="1"/>
    <col min="715" max="715" width="36.36328125" bestFit="1" customWidth="1"/>
    <col min="716" max="716" width="23.08984375" bestFit="1" customWidth="1"/>
    <col min="717" max="717" width="36.36328125" bestFit="1" customWidth="1"/>
    <col min="718" max="718" width="23.08984375" bestFit="1" customWidth="1"/>
    <col min="719" max="719" width="36.36328125" bestFit="1" customWidth="1"/>
    <col min="720" max="720" width="23.08984375" bestFit="1" customWidth="1"/>
    <col min="721" max="721" width="36.36328125" bestFit="1" customWidth="1"/>
    <col min="722" max="722" width="23.08984375" bestFit="1" customWidth="1"/>
    <col min="723" max="723" width="36.36328125" bestFit="1" customWidth="1"/>
    <col min="724" max="724" width="23.08984375" bestFit="1" customWidth="1"/>
    <col min="725" max="725" width="36.36328125" bestFit="1" customWidth="1"/>
    <col min="726" max="726" width="23.08984375" bestFit="1" customWidth="1"/>
    <col min="727" max="727" width="36.36328125" bestFit="1" customWidth="1"/>
    <col min="728" max="728" width="23.08984375" bestFit="1" customWidth="1"/>
    <col min="729" max="729" width="36.36328125" bestFit="1" customWidth="1"/>
    <col min="730" max="730" width="23.08984375" bestFit="1" customWidth="1"/>
    <col min="731" max="731" width="36.36328125" bestFit="1" customWidth="1"/>
    <col min="732" max="732" width="23.08984375" bestFit="1" customWidth="1"/>
    <col min="733" max="733" width="36.36328125" bestFit="1" customWidth="1"/>
    <col min="734" max="734" width="23.08984375" bestFit="1" customWidth="1"/>
    <col min="735" max="735" width="36.36328125" bestFit="1" customWidth="1"/>
    <col min="736" max="736" width="23.08984375" bestFit="1" customWidth="1"/>
    <col min="737" max="737" width="36.36328125" bestFit="1" customWidth="1"/>
    <col min="738" max="738" width="23.08984375" bestFit="1" customWidth="1"/>
    <col min="739" max="739" width="36.36328125" bestFit="1" customWidth="1"/>
    <col min="740" max="740" width="23.08984375" bestFit="1" customWidth="1"/>
    <col min="741" max="741" width="36.36328125" bestFit="1" customWidth="1"/>
    <col min="742" max="742" width="23.08984375" bestFit="1" customWidth="1"/>
    <col min="743" max="743" width="36.36328125" bestFit="1" customWidth="1"/>
    <col min="744" max="744" width="23.08984375" bestFit="1" customWidth="1"/>
    <col min="745" max="745" width="36.36328125" bestFit="1" customWidth="1"/>
    <col min="746" max="746" width="27.90625" bestFit="1" customWidth="1"/>
    <col min="747" max="747" width="41.1796875" bestFit="1" customWidth="1"/>
  </cols>
  <sheetData>
    <row r="2" spans="1:20" x14ac:dyDescent="0.35">
      <c r="A2" s="310" t="s">
        <v>1514</v>
      </c>
      <c r="B2" s="315" t="s">
        <v>1516</v>
      </c>
      <c r="C2" s="316" t="s">
        <v>1517</v>
      </c>
      <c r="D2" s="316" t="s">
        <v>1518</v>
      </c>
      <c r="E2" s="316" t="s">
        <v>1519</v>
      </c>
      <c r="F2" s="317" t="s">
        <v>1520</v>
      </c>
      <c r="H2" s="310" t="s">
        <v>1514</v>
      </c>
      <c r="I2" s="315" t="s">
        <v>1516</v>
      </c>
      <c r="J2" s="316" t="s">
        <v>1517</v>
      </c>
      <c r="K2" s="316" t="s">
        <v>1518</v>
      </c>
      <c r="L2" s="316" t="s">
        <v>1519</v>
      </c>
      <c r="M2" s="317" t="s">
        <v>1520</v>
      </c>
      <c r="O2" s="310" t="s">
        <v>1514</v>
      </c>
      <c r="P2" s="315" t="s">
        <v>1516</v>
      </c>
      <c r="Q2" s="316" t="s">
        <v>1517</v>
      </c>
      <c r="R2" s="316" t="s">
        <v>1518</v>
      </c>
      <c r="S2" s="316" t="s">
        <v>1519</v>
      </c>
      <c r="T2" s="317" t="s">
        <v>1520</v>
      </c>
    </row>
    <row r="3" spans="1:20" x14ac:dyDescent="0.35">
      <c r="A3" s="311" t="s">
        <v>477</v>
      </c>
      <c r="B3" s="90"/>
      <c r="C3" s="58"/>
      <c r="D3" s="58"/>
      <c r="E3" s="58"/>
      <c r="F3" s="59"/>
      <c r="H3" s="311" t="s">
        <v>959</v>
      </c>
      <c r="I3" s="522"/>
      <c r="J3" s="523"/>
      <c r="K3" s="523"/>
      <c r="L3" s="523"/>
      <c r="M3" s="524"/>
      <c r="O3" s="311" t="s">
        <v>1001</v>
      </c>
      <c r="P3" s="522"/>
      <c r="Q3" s="523"/>
      <c r="R3" s="523"/>
      <c r="S3" s="523"/>
      <c r="T3" s="524"/>
    </row>
    <row r="4" spans="1:20" x14ac:dyDescent="0.35">
      <c r="A4" s="312">
        <v>2018</v>
      </c>
      <c r="B4" s="309">
        <v>0</v>
      </c>
      <c r="C4" s="276">
        <v>0</v>
      </c>
      <c r="D4" s="276">
        <v>0</v>
      </c>
      <c r="E4" s="276">
        <v>3</v>
      </c>
      <c r="F4" s="518">
        <v>27</v>
      </c>
      <c r="H4" s="312">
        <v>2018</v>
      </c>
      <c r="I4" s="309">
        <v>0</v>
      </c>
      <c r="J4" s="276">
        <v>0</v>
      </c>
      <c r="K4" s="276">
        <v>0</v>
      </c>
      <c r="L4" s="276">
        <v>0</v>
      </c>
      <c r="M4" s="518">
        <v>4</v>
      </c>
      <c r="O4" s="312">
        <v>2018</v>
      </c>
      <c r="P4" s="309">
        <v>0</v>
      </c>
      <c r="Q4" s="276">
        <v>1</v>
      </c>
      <c r="R4" s="276">
        <v>1</v>
      </c>
      <c r="S4" s="276">
        <v>9</v>
      </c>
      <c r="T4" s="518">
        <v>83</v>
      </c>
    </row>
    <row r="5" spans="1:20" x14ac:dyDescent="0.35">
      <c r="A5" s="313">
        <v>2019</v>
      </c>
      <c r="B5" s="309">
        <v>0</v>
      </c>
      <c r="C5" s="276">
        <v>0</v>
      </c>
      <c r="D5" s="276">
        <v>0</v>
      </c>
      <c r="E5" s="276">
        <v>3</v>
      </c>
      <c r="F5" s="518">
        <v>50</v>
      </c>
      <c r="H5" s="313">
        <v>2019</v>
      </c>
      <c r="I5" s="309">
        <v>0</v>
      </c>
      <c r="J5" s="276">
        <v>0</v>
      </c>
      <c r="K5" s="276">
        <v>0</v>
      </c>
      <c r="L5" s="276">
        <v>1</v>
      </c>
      <c r="M5" s="518">
        <v>8</v>
      </c>
      <c r="O5" s="313">
        <v>2019</v>
      </c>
      <c r="P5" s="309">
        <v>0</v>
      </c>
      <c r="Q5" s="276">
        <v>1</v>
      </c>
      <c r="R5" s="276">
        <v>1</v>
      </c>
      <c r="S5" s="276">
        <v>3</v>
      </c>
      <c r="T5" s="518">
        <v>52</v>
      </c>
    </row>
    <row r="6" spans="1:20" x14ac:dyDescent="0.35">
      <c r="A6" s="313">
        <v>2020</v>
      </c>
      <c r="B6" s="309">
        <v>0</v>
      </c>
      <c r="C6" s="276">
        <v>0</v>
      </c>
      <c r="D6" s="276">
        <v>0</v>
      </c>
      <c r="E6" s="276">
        <v>3</v>
      </c>
      <c r="F6" s="518">
        <v>55</v>
      </c>
      <c r="H6" s="313">
        <v>2021</v>
      </c>
      <c r="I6" s="309">
        <v>0</v>
      </c>
      <c r="J6" s="276">
        <v>0</v>
      </c>
      <c r="K6" s="276">
        <v>0</v>
      </c>
      <c r="L6" s="276">
        <v>0</v>
      </c>
      <c r="M6" s="518">
        <v>1</v>
      </c>
      <c r="O6" s="313">
        <v>2020</v>
      </c>
      <c r="P6" s="309">
        <v>0</v>
      </c>
      <c r="Q6" s="276">
        <v>0</v>
      </c>
      <c r="R6" s="276">
        <v>5</v>
      </c>
      <c r="S6" s="276">
        <v>1</v>
      </c>
      <c r="T6" s="518">
        <v>36</v>
      </c>
    </row>
    <row r="7" spans="1:20" x14ac:dyDescent="0.35">
      <c r="A7" s="313">
        <v>2021</v>
      </c>
      <c r="B7" s="309">
        <v>0</v>
      </c>
      <c r="C7" s="276">
        <v>0</v>
      </c>
      <c r="D7" s="276">
        <v>0</v>
      </c>
      <c r="E7" s="276">
        <v>3</v>
      </c>
      <c r="F7" s="518">
        <v>23</v>
      </c>
      <c r="H7" s="313">
        <v>2022</v>
      </c>
      <c r="I7" s="309">
        <v>0</v>
      </c>
      <c r="J7" s="276">
        <v>0</v>
      </c>
      <c r="K7" s="276">
        <v>0</v>
      </c>
      <c r="L7" s="276">
        <v>0</v>
      </c>
      <c r="M7" s="518">
        <v>1</v>
      </c>
      <c r="O7" s="313">
        <v>2021</v>
      </c>
      <c r="P7" s="309">
        <v>0</v>
      </c>
      <c r="Q7" s="276">
        <v>0</v>
      </c>
      <c r="R7" s="276">
        <v>1</v>
      </c>
      <c r="S7" s="276">
        <v>5</v>
      </c>
      <c r="T7" s="518">
        <v>47</v>
      </c>
    </row>
    <row r="8" spans="1:20" x14ac:dyDescent="0.35">
      <c r="A8" s="313">
        <v>2022</v>
      </c>
      <c r="B8" s="309">
        <v>0</v>
      </c>
      <c r="C8" s="276">
        <v>0</v>
      </c>
      <c r="D8" s="276">
        <v>0</v>
      </c>
      <c r="E8" s="276">
        <v>1</v>
      </c>
      <c r="F8" s="518">
        <v>26</v>
      </c>
      <c r="H8" s="313">
        <v>2023</v>
      </c>
      <c r="I8" s="309">
        <v>0</v>
      </c>
      <c r="J8" s="276">
        <v>0</v>
      </c>
      <c r="K8" s="276">
        <v>0</v>
      </c>
      <c r="L8" s="276">
        <v>0</v>
      </c>
      <c r="M8" s="518">
        <v>1</v>
      </c>
      <c r="O8" s="313">
        <v>2022</v>
      </c>
      <c r="P8" s="309">
        <v>0</v>
      </c>
      <c r="Q8" s="276">
        <v>0</v>
      </c>
      <c r="R8" s="276">
        <v>1</v>
      </c>
      <c r="S8" s="276">
        <v>8</v>
      </c>
      <c r="T8" s="518">
        <v>40</v>
      </c>
    </row>
    <row r="9" spans="1:20" x14ac:dyDescent="0.35">
      <c r="A9" s="313">
        <v>2023</v>
      </c>
      <c r="B9" s="309">
        <v>0</v>
      </c>
      <c r="C9" s="276">
        <v>0</v>
      </c>
      <c r="D9" s="276">
        <v>3</v>
      </c>
      <c r="E9" s="276">
        <v>1</v>
      </c>
      <c r="F9" s="518">
        <v>24</v>
      </c>
      <c r="H9" s="314">
        <v>2024</v>
      </c>
      <c r="I9" s="309">
        <v>0</v>
      </c>
      <c r="J9" s="276">
        <v>0</v>
      </c>
      <c r="K9" s="276">
        <v>0</v>
      </c>
      <c r="L9" s="276">
        <v>0</v>
      </c>
      <c r="M9" s="518">
        <v>2</v>
      </c>
      <c r="O9" s="313">
        <v>2023</v>
      </c>
      <c r="P9" s="309">
        <v>0</v>
      </c>
      <c r="Q9" s="276">
        <v>0</v>
      </c>
      <c r="R9" s="276">
        <v>0</v>
      </c>
      <c r="S9" s="276">
        <v>2</v>
      </c>
      <c r="T9" s="518">
        <v>39</v>
      </c>
    </row>
    <row r="10" spans="1:20" x14ac:dyDescent="0.35">
      <c r="A10" s="313">
        <v>2024</v>
      </c>
      <c r="B10" s="309">
        <v>0</v>
      </c>
      <c r="C10" s="276">
        <v>0</v>
      </c>
      <c r="D10" s="276">
        <v>0</v>
      </c>
      <c r="E10" s="276">
        <v>4</v>
      </c>
      <c r="F10" s="518">
        <v>45</v>
      </c>
      <c r="H10" s="309"/>
      <c r="I10" s="62"/>
      <c r="M10" s="60"/>
      <c r="O10" s="313">
        <v>2024</v>
      </c>
      <c r="P10" s="309">
        <v>0</v>
      </c>
      <c r="Q10" s="276">
        <v>0</v>
      </c>
      <c r="R10" s="276">
        <v>4</v>
      </c>
      <c r="S10" s="276">
        <v>4</v>
      </c>
      <c r="T10" s="518">
        <v>44</v>
      </c>
    </row>
    <row r="11" spans="1:20" x14ac:dyDescent="0.35">
      <c r="A11" s="314">
        <v>2025</v>
      </c>
      <c r="B11" s="309">
        <v>0</v>
      </c>
      <c r="C11" s="276">
        <v>0</v>
      </c>
      <c r="D11" s="276">
        <v>1</v>
      </c>
      <c r="E11" s="276">
        <v>0</v>
      </c>
      <c r="F11" s="518">
        <v>16</v>
      </c>
      <c r="H11" s="311" t="s">
        <v>1515</v>
      </c>
      <c r="I11" s="521">
        <v>0</v>
      </c>
      <c r="J11" s="519">
        <v>0</v>
      </c>
      <c r="K11" s="519">
        <v>0</v>
      </c>
      <c r="L11" s="519">
        <v>1</v>
      </c>
      <c r="M11" s="520">
        <v>17</v>
      </c>
      <c r="O11" s="314">
        <v>2025</v>
      </c>
      <c r="P11" s="309">
        <v>0</v>
      </c>
      <c r="Q11" s="276">
        <v>0</v>
      </c>
      <c r="R11" s="276">
        <v>3</v>
      </c>
      <c r="S11" s="276">
        <v>5</v>
      </c>
      <c r="T11" s="518">
        <v>52</v>
      </c>
    </row>
    <row r="12" spans="1:20" x14ac:dyDescent="0.35">
      <c r="A12" s="309"/>
      <c r="B12" s="62"/>
      <c r="F12" s="60"/>
      <c r="O12" s="309"/>
      <c r="P12" s="62"/>
      <c r="T12" s="60"/>
    </row>
    <row r="13" spans="1:20" x14ac:dyDescent="0.35">
      <c r="A13" s="311" t="s">
        <v>1515</v>
      </c>
      <c r="B13" s="521">
        <v>0</v>
      </c>
      <c r="C13" s="519">
        <v>0</v>
      </c>
      <c r="D13" s="519">
        <v>4</v>
      </c>
      <c r="E13" s="519">
        <v>18</v>
      </c>
      <c r="F13" s="520">
        <v>266</v>
      </c>
      <c r="O13" s="311" t="s">
        <v>1515</v>
      </c>
      <c r="P13" s="521">
        <v>0</v>
      </c>
      <c r="Q13" s="519">
        <v>2</v>
      </c>
      <c r="R13" s="519">
        <v>16</v>
      </c>
      <c r="S13" s="519">
        <v>37</v>
      </c>
      <c r="T13" s="520">
        <v>393</v>
      </c>
    </row>
    <row r="15" spans="1:20" x14ac:dyDescent="0.35">
      <c r="A15" s="318" t="s">
        <v>1521</v>
      </c>
      <c r="B15" s="319">
        <f>AVERAGE(B4:B11)</f>
        <v>0</v>
      </c>
      <c r="C15" s="319">
        <f>AVERAGE(C4:C11)</f>
        <v>0</v>
      </c>
      <c r="D15" s="319">
        <f>AVERAGE(D4:D11)</f>
        <v>0.5</v>
      </c>
      <c r="E15" s="319">
        <f>AVERAGE(E4:E11)</f>
        <v>2.25</v>
      </c>
      <c r="F15" s="320">
        <f>AVERAGE(F4:F11)</f>
        <v>33.25</v>
      </c>
      <c r="H15" s="318" t="s">
        <v>1521</v>
      </c>
      <c r="I15" s="319">
        <f>AVERAGE(I4:I9)</f>
        <v>0</v>
      </c>
      <c r="J15" s="319">
        <f t="shared" ref="J15:M15" si="0">AVERAGE(J4:J9)</f>
        <v>0</v>
      </c>
      <c r="K15" s="319">
        <f t="shared" si="0"/>
        <v>0</v>
      </c>
      <c r="L15" s="319">
        <f t="shared" si="0"/>
        <v>0.16666666666666666</v>
      </c>
      <c r="M15" s="320">
        <f t="shared" si="0"/>
        <v>2.8333333333333335</v>
      </c>
      <c r="O15" s="318" t="s">
        <v>1521</v>
      </c>
      <c r="P15" s="319">
        <f>AVERAGE(P4:P11)</f>
        <v>0</v>
      </c>
      <c r="Q15" s="319">
        <f>AVERAGE(Q4:Q11)</f>
        <v>0.25</v>
      </c>
      <c r="R15" s="319">
        <f>AVERAGE(R4:R11)</f>
        <v>2</v>
      </c>
      <c r="S15" s="319">
        <f>AVERAGE(S4:S11)</f>
        <v>4.625</v>
      </c>
      <c r="T15" s="320">
        <f>AVERAGE(T4:T11)</f>
        <v>49.125</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45E5B-EE25-4F72-BDDF-B313DDED7327}">
  <sheetPr>
    <tabColor theme="4" tint="0.79998168889431442"/>
  </sheetPr>
  <dimension ref="A1:BJ299"/>
  <sheetViews>
    <sheetView workbookViewId="0"/>
  </sheetViews>
  <sheetFormatPr defaultRowHeight="14.5" x14ac:dyDescent="0.35"/>
  <cols>
    <col min="1" max="1" width="12.81640625" customWidth="1"/>
    <col min="2" max="2" width="11" customWidth="1"/>
    <col min="3" max="3" width="17.26953125" bestFit="1" customWidth="1"/>
    <col min="4" max="4" width="13.81640625" customWidth="1"/>
    <col min="5" max="5" width="14.36328125" customWidth="1"/>
    <col min="6" max="6" width="15.36328125" customWidth="1"/>
    <col min="7" max="7" width="6.90625" customWidth="1"/>
    <col min="8" max="8" width="47.7265625" bestFit="1" customWidth="1"/>
    <col min="9" max="9" width="17" bestFit="1" customWidth="1"/>
    <col min="10" max="10" width="22.26953125" bestFit="1" customWidth="1"/>
    <col min="11" max="11" width="21" bestFit="1" customWidth="1"/>
    <col min="12" max="12" width="24.453125" bestFit="1" customWidth="1"/>
    <col min="13" max="13" width="20.1796875" customWidth="1"/>
    <col min="14" max="14" width="34.54296875" bestFit="1" customWidth="1"/>
    <col min="15" max="15" width="92.453125" bestFit="1" customWidth="1"/>
    <col min="16" max="18" width="34.7265625" bestFit="1" customWidth="1"/>
    <col min="19" max="19" width="7.7265625" customWidth="1"/>
    <col min="20" max="20" width="24.1796875" bestFit="1" customWidth="1"/>
    <col min="21" max="21" width="21.90625" customWidth="1"/>
    <col min="22" max="22" width="26.453125" bestFit="1" customWidth="1"/>
    <col min="23" max="23" width="17.81640625" customWidth="1"/>
    <col min="24" max="24" width="16.453125" customWidth="1"/>
    <col min="25" max="25" width="13.36328125" customWidth="1"/>
    <col min="26" max="26" width="16.08984375" customWidth="1"/>
    <col min="27" max="27" width="19.7265625" customWidth="1"/>
    <col min="28" max="28" width="14.54296875" customWidth="1"/>
    <col min="29" max="29" width="20.1796875" customWidth="1"/>
    <col min="30" max="30" width="20" customWidth="1"/>
    <col min="31" max="31" width="22.7265625" bestFit="1" customWidth="1"/>
    <col min="32" max="32" width="12.6328125" customWidth="1"/>
    <col min="33" max="33" width="15.08984375" customWidth="1"/>
    <col min="34" max="34" width="20" customWidth="1"/>
    <col min="35" max="35" width="19.7265625" customWidth="1"/>
    <col min="36" max="36" width="35.54296875" bestFit="1" customWidth="1"/>
    <col min="37" max="37" width="35.7265625" bestFit="1" customWidth="1"/>
    <col min="38" max="38" width="26.54296875" bestFit="1" customWidth="1"/>
    <col min="39" max="39" width="39.81640625" bestFit="1" customWidth="1"/>
    <col min="40" max="40" width="13.1796875" customWidth="1"/>
    <col min="41" max="41" width="34" bestFit="1" customWidth="1"/>
    <col min="42" max="42" width="15.7265625" customWidth="1"/>
    <col min="43" max="43" width="24.1796875" bestFit="1" customWidth="1"/>
    <col min="44" max="44" width="20" bestFit="1" customWidth="1"/>
    <col min="45" max="45" width="19.453125" customWidth="1"/>
    <col min="46" max="46" width="15.1796875" customWidth="1"/>
    <col min="47" max="47" width="10.7265625" bestFit="1" customWidth="1"/>
    <col min="48" max="48" width="33.453125" bestFit="1" customWidth="1"/>
    <col min="49" max="49" width="17.08984375" customWidth="1"/>
    <col min="50" max="50" width="12" bestFit="1" customWidth="1"/>
    <col min="51" max="51" width="12.7265625" bestFit="1" customWidth="1"/>
    <col min="52" max="52" width="26" bestFit="1" customWidth="1"/>
    <col min="53" max="53" width="23.54296875" bestFit="1" customWidth="1"/>
    <col min="54" max="54" width="12.26953125" customWidth="1"/>
    <col min="55" max="55" width="12.7265625" customWidth="1"/>
    <col min="56" max="56" width="20.453125" customWidth="1"/>
    <col min="57" max="57" width="21.26953125" customWidth="1"/>
    <col min="58" max="58" width="19" customWidth="1"/>
    <col min="59" max="59" width="23.81640625" bestFit="1" customWidth="1"/>
    <col min="60" max="60" width="16.1796875" customWidth="1"/>
    <col min="61" max="61" width="10.1796875" customWidth="1"/>
    <col min="62" max="62" width="8.453125" customWidth="1"/>
  </cols>
  <sheetData>
    <row r="1" spans="1:62" ht="16" thickBot="1" x14ac:dyDescent="0.4">
      <c r="A1" s="291" t="s">
        <v>416</v>
      </c>
      <c r="B1" s="291" t="s">
        <v>417</v>
      </c>
      <c r="C1" s="291" t="s">
        <v>418</v>
      </c>
      <c r="D1" s="291" t="s">
        <v>419</v>
      </c>
      <c r="E1" s="291" t="s">
        <v>420</v>
      </c>
      <c r="F1" s="291" t="s">
        <v>421</v>
      </c>
      <c r="G1" s="291" t="s">
        <v>4</v>
      </c>
      <c r="H1" s="291" t="s">
        <v>422</v>
      </c>
      <c r="I1" s="291" t="s">
        <v>423</v>
      </c>
      <c r="J1" s="291" t="s">
        <v>424</v>
      </c>
      <c r="K1" s="291" t="s">
        <v>425</v>
      </c>
      <c r="L1" s="291" t="s">
        <v>426</v>
      </c>
      <c r="M1" s="291" t="s">
        <v>427</v>
      </c>
      <c r="N1" s="291" t="s">
        <v>428</v>
      </c>
      <c r="O1" s="291" t="s">
        <v>429</v>
      </c>
      <c r="P1" s="291" t="s">
        <v>430</v>
      </c>
      <c r="Q1" s="291" t="s">
        <v>431</v>
      </c>
      <c r="R1" s="291" t="s">
        <v>432</v>
      </c>
      <c r="S1" s="291" t="s">
        <v>433</v>
      </c>
      <c r="T1" s="291" t="s">
        <v>434</v>
      </c>
      <c r="U1" s="291" t="s">
        <v>435</v>
      </c>
      <c r="V1" s="291" t="s">
        <v>436</v>
      </c>
      <c r="W1" s="291" t="s">
        <v>437</v>
      </c>
      <c r="X1" s="291" t="s">
        <v>438</v>
      </c>
      <c r="Y1" s="291" t="s">
        <v>439</v>
      </c>
      <c r="Z1" s="291" t="s">
        <v>440</v>
      </c>
      <c r="AA1" s="291" t="s">
        <v>441</v>
      </c>
      <c r="AB1" s="291" t="s">
        <v>442</v>
      </c>
      <c r="AC1" s="291" t="s">
        <v>443</v>
      </c>
      <c r="AD1" s="291" t="s">
        <v>444</v>
      </c>
      <c r="AE1" s="291" t="s">
        <v>445</v>
      </c>
      <c r="AF1" s="291" t="s">
        <v>446</v>
      </c>
      <c r="AG1" s="291" t="s">
        <v>447</v>
      </c>
      <c r="AH1" s="291" t="s">
        <v>448</v>
      </c>
      <c r="AI1" s="291" t="s">
        <v>449</v>
      </c>
      <c r="AJ1" s="291" t="s">
        <v>450</v>
      </c>
      <c r="AK1" s="291" t="s">
        <v>451</v>
      </c>
      <c r="AL1" s="291" t="s">
        <v>452</v>
      </c>
      <c r="AM1" s="291" t="s">
        <v>453</v>
      </c>
      <c r="AN1" s="291" t="s">
        <v>454</v>
      </c>
      <c r="AO1" s="291" t="s">
        <v>455</v>
      </c>
      <c r="AP1" s="291" t="s">
        <v>456</v>
      </c>
      <c r="AQ1" s="291" t="s">
        <v>457</v>
      </c>
      <c r="AR1" s="291" t="s">
        <v>458</v>
      </c>
      <c r="AS1" s="291" t="s">
        <v>459</v>
      </c>
      <c r="AT1" s="291" t="s">
        <v>460</v>
      </c>
      <c r="AU1" s="291" t="s">
        <v>461</v>
      </c>
      <c r="AV1" s="291" t="s">
        <v>462</v>
      </c>
      <c r="AW1" s="291" t="s">
        <v>463</v>
      </c>
      <c r="AX1" s="291" t="s">
        <v>464</v>
      </c>
      <c r="AY1" s="291" t="s">
        <v>465</v>
      </c>
      <c r="AZ1" s="291" t="s">
        <v>466</v>
      </c>
      <c r="BA1" s="291" t="s">
        <v>467</v>
      </c>
      <c r="BB1" s="291" t="s">
        <v>468</v>
      </c>
      <c r="BC1" s="291" t="s">
        <v>469</v>
      </c>
      <c r="BD1" s="291" t="s">
        <v>470</v>
      </c>
      <c r="BE1" s="291" t="s">
        <v>471</v>
      </c>
      <c r="BF1" s="291" t="s">
        <v>472</v>
      </c>
      <c r="BG1" s="291" t="s">
        <v>473</v>
      </c>
      <c r="BH1" s="291" t="s">
        <v>474</v>
      </c>
      <c r="BI1" s="291" t="s">
        <v>475</v>
      </c>
      <c r="BJ1" s="291" t="s">
        <v>476</v>
      </c>
    </row>
    <row r="2" spans="1:62" x14ac:dyDescent="0.35">
      <c r="A2" t="s">
        <v>477</v>
      </c>
      <c r="B2" t="s">
        <v>478</v>
      </c>
      <c r="C2" s="292">
        <v>45132</v>
      </c>
      <c r="D2" t="s">
        <v>479</v>
      </c>
      <c r="E2" t="s">
        <v>480</v>
      </c>
      <c r="F2" t="s">
        <v>481</v>
      </c>
      <c r="G2">
        <v>2023</v>
      </c>
      <c r="H2" t="s">
        <v>396</v>
      </c>
      <c r="I2" t="s">
        <v>482</v>
      </c>
      <c r="J2" t="s">
        <v>483</v>
      </c>
      <c r="K2" t="s">
        <v>484</v>
      </c>
      <c r="L2" t="s">
        <v>485</v>
      </c>
      <c r="M2" t="s">
        <v>486</v>
      </c>
      <c r="N2" t="s">
        <v>487</v>
      </c>
      <c r="O2" t="s">
        <v>488</v>
      </c>
      <c r="Q2" t="s">
        <v>488</v>
      </c>
      <c r="S2">
        <v>39690</v>
      </c>
      <c r="T2" t="s">
        <v>489</v>
      </c>
      <c r="U2" t="s">
        <v>490</v>
      </c>
      <c r="V2">
        <v>10.28</v>
      </c>
      <c r="W2">
        <v>1</v>
      </c>
      <c r="X2">
        <v>22335.5</v>
      </c>
      <c r="Z2" t="s">
        <v>491</v>
      </c>
      <c r="AA2" t="s">
        <v>491</v>
      </c>
      <c r="AC2" t="s">
        <v>491</v>
      </c>
      <c r="AD2" t="s">
        <v>492</v>
      </c>
      <c r="AE2" t="s">
        <v>487</v>
      </c>
      <c r="AF2">
        <v>2</v>
      </c>
      <c r="AG2">
        <v>2</v>
      </c>
      <c r="AH2">
        <v>0</v>
      </c>
      <c r="AI2">
        <v>0</v>
      </c>
      <c r="AJ2">
        <v>0</v>
      </c>
      <c r="AK2">
        <v>0</v>
      </c>
      <c r="AL2">
        <v>0</v>
      </c>
      <c r="AM2">
        <v>2</v>
      </c>
      <c r="AN2" t="s">
        <v>493</v>
      </c>
      <c r="AO2" t="s">
        <v>494</v>
      </c>
      <c r="AP2">
        <v>9</v>
      </c>
      <c r="AQ2" t="s">
        <v>495</v>
      </c>
      <c r="AR2" t="s">
        <v>496</v>
      </c>
      <c r="AS2">
        <v>3</v>
      </c>
      <c r="AT2" t="s">
        <v>497</v>
      </c>
      <c r="AU2" t="s">
        <v>478</v>
      </c>
      <c r="AV2" t="s">
        <v>498</v>
      </c>
      <c r="AW2" t="s">
        <v>499</v>
      </c>
      <c r="AX2">
        <v>44.797049169999987</v>
      </c>
      <c r="AY2">
        <v>-68.761350610000008</v>
      </c>
      <c r="AZ2">
        <v>7</v>
      </c>
      <c r="BA2" t="s">
        <v>500</v>
      </c>
      <c r="BB2" t="s">
        <v>501</v>
      </c>
      <c r="BC2">
        <v>4041936</v>
      </c>
      <c r="BD2">
        <v>4</v>
      </c>
      <c r="BE2" t="s">
        <v>502</v>
      </c>
      <c r="BF2" t="s">
        <v>503</v>
      </c>
      <c r="BG2" t="s">
        <v>504</v>
      </c>
      <c r="BH2" t="s">
        <v>505</v>
      </c>
      <c r="BI2">
        <v>1741</v>
      </c>
      <c r="BJ2">
        <v>0</v>
      </c>
    </row>
    <row r="3" spans="1:62" x14ac:dyDescent="0.35">
      <c r="A3" t="s">
        <v>477</v>
      </c>
      <c r="B3" t="s">
        <v>506</v>
      </c>
      <c r="C3" s="292">
        <v>46038</v>
      </c>
      <c r="D3" t="s">
        <v>479</v>
      </c>
      <c r="E3" t="s">
        <v>507</v>
      </c>
      <c r="F3" t="s">
        <v>508</v>
      </c>
      <c r="G3">
        <v>2026</v>
      </c>
      <c r="H3" t="s">
        <v>396</v>
      </c>
      <c r="I3" t="s">
        <v>509</v>
      </c>
      <c r="J3" t="s">
        <v>510</v>
      </c>
      <c r="K3" t="s">
        <v>484</v>
      </c>
      <c r="L3" t="s">
        <v>485</v>
      </c>
      <c r="M3" t="s">
        <v>486</v>
      </c>
      <c r="N3" t="s">
        <v>487</v>
      </c>
      <c r="O3" t="s">
        <v>511</v>
      </c>
      <c r="Q3" t="s">
        <v>488</v>
      </c>
      <c r="S3">
        <v>39690</v>
      </c>
      <c r="T3" t="s">
        <v>489</v>
      </c>
      <c r="U3" t="s">
        <v>490</v>
      </c>
      <c r="V3">
        <v>10.28</v>
      </c>
      <c r="W3">
        <v>1</v>
      </c>
      <c r="X3">
        <v>22335.5</v>
      </c>
      <c r="Z3" t="s">
        <v>491</v>
      </c>
      <c r="AA3" t="s">
        <v>491</v>
      </c>
      <c r="AC3" t="s">
        <v>491</v>
      </c>
      <c r="AD3" t="s">
        <v>492</v>
      </c>
      <c r="AE3" t="s">
        <v>492</v>
      </c>
      <c r="AF3">
        <v>2</v>
      </c>
      <c r="AG3">
        <v>2</v>
      </c>
      <c r="AH3">
        <v>0</v>
      </c>
      <c r="AI3">
        <v>0</v>
      </c>
      <c r="AJ3">
        <v>0</v>
      </c>
      <c r="AK3">
        <v>0</v>
      </c>
      <c r="AL3">
        <v>0</v>
      </c>
      <c r="AM3">
        <v>2</v>
      </c>
      <c r="AN3" t="s">
        <v>493</v>
      </c>
      <c r="AO3" t="s">
        <v>494</v>
      </c>
      <c r="AP3">
        <v>16</v>
      </c>
      <c r="AQ3" t="s">
        <v>495</v>
      </c>
      <c r="AR3" t="s">
        <v>496</v>
      </c>
      <c r="AS3">
        <v>6</v>
      </c>
      <c r="AT3" t="s">
        <v>497</v>
      </c>
      <c r="AU3" t="s">
        <v>512</v>
      </c>
      <c r="AV3" t="s">
        <v>498</v>
      </c>
      <c r="AW3" t="s">
        <v>513</v>
      </c>
      <c r="AX3">
        <v>44.797049169999987</v>
      </c>
      <c r="AY3">
        <v>-68.761350610000008</v>
      </c>
      <c r="AZ3">
        <v>1</v>
      </c>
      <c r="BA3" t="s">
        <v>514</v>
      </c>
      <c r="BB3" t="s">
        <v>501</v>
      </c>
      <c r="BC3">
        <v>4041936</v>
      </c>
      <c r="BD3">
        <v>4</v>
      </c>
      <c r="BE3" t="s">
        <v>502</v>
      </c>
      <c r="BF3" t="s">
        <v>503</v>
      </c>
      <c r="BG3" t="s">
        <v>504</v>
      </c>
      <c r="BH3" t="s">
        <v>505</v>
      </c>
      <c r="BI3">
        <v>2917</v>
      </c>
      <c r="BJ3">
        <v>0</v>
      </c>
    </row>
    <row r="4" spans="1:62" x14ac:dyDescent="0.35">
      <c r="A4" t="s">
        <v>477</v>
      </c>
      <c r="B4" t="s">
        <v>515</v>
      </c>
      <c r="C4" s="292">
        <v>43125</v>
      </c>
      <c r="D4" t="s">
        <v>479</v>
      </c>
      <c r="E4" t="s">
        <v>516</v>
      </c>
      <c r="F4" t="s">
        <v>517</v>
      </c>
      <c r="G4">
        <v>2018</v>
      </c>
      <c r="H4" t="s">
        <v>396</v>
      </c>
      <c r="I4" t="s">
        <v>482</v>
      </c>
      <c r="J4" t="s">
        <v>483</v>
      </c>
      <c r="K4" t="s">
        <v>484</v>
      </c>
      <c r="L4" t="s">
        <v>485</v>
      </c>
      <c r="M4" t="s">
        <v>486</v>
      </c>
      <c r="N4" t="s">
        <v>487</v>
      </c>
      <c r="O4" t="s">
        <v>518</v>
      </c>
      <c r="Q4" t="s">
        <v>488</v>
      </c>
      <c r="S4">
        <v>39690</v>
      </c>
      <c r="T4" t="s">
        <v>489</v>
      </c>
      <c r="U4" t="s">
        <v>490</v>
      </c>
      <c r="V4">
        <v>10.28</v>
      </c>
      <c r="W4">
        <v>1</v>
      </c>
      <c r="X4">
        <v>22335.5</v>
      </c>
      <c r="Z4" t="s">
        <v>491</v>
      </c>
      <c r="AA4" t="s">
        <v>491</v>
      </c>
      <c r="AB4" t="s">
        <v>491</v>
      </c>
      <c r="AC4" t="s">
        <v>491</v>
      </c>
      <c r="AD4" t="s">
        <v>492</v>
      </c>
      <c r="AE4" t="s">
        <v>492</v>
      </c>
      <c r="AF4">
        <v>2</v>
      </c>
      <c r="AG4">
        <v>4</v>
      </c>
      <c r="AH4">
        <v>1</v>
      </c>
      <c r="AI4">
        <v>0</v>
      </c>
      <c r="AJ4">
        <v>0</v>
      </c>
      <c r="AK4">
        <v>0</v>
      </c>
      <c r="AL4">
        <v>1</v>
      </c>
      <c r="AM4">
        <v>3</v>
      </c>
      <c r="AN4" t="s">
        <v>519</v>
      </c>
      <c r="AO4" t="s">
        <v>494</v>
      </c>
      <c r="AP4">
        <v>15</v>
      </c>
      <c r="AQ4" t="s">
        <v>495</v>
      </c>
      <c r="AR4" t="s">
        <v>496</v>
      </c>
      <c r="AS4">
        <v>5</v>
      </c>
      <c r="AT4" t="s">
        <v>497</v>
      </c>
      <c r="AU4" t="s">
        <v>520</v>
      </c>
      <c r="AV4" t="s">
        <v>498</v>
      </c>
      <c r="AW4" t="s">
        <v>521</v>
      </c>
      <c r="AX4">
        <v>44.797049169999987</v>
      </c>
      <c r="AY4">
        <v>-68.761350610000008</v>
      </c>
      <c r="AZ4">
        <v>1</v>
      </c>
      <c r="BA4" t="s">
        <v>514</v>
      </c>
      <c r="BB4" t="s">
        <v>501</v>
      </c>
      <c r="BC4">
        <v>4041936</v>
      </c>
      <c r="BD4">
        <v>4</v>
      </c>
      <c r="BE4" t="s">
        <v>502</v>
      </c>
      <c r="BF4" t="s">
        <v>503</v>
      </c>
      <c r="BG4" t="s">
        <v>504</v>
      </c>
      <c r="BH4" t="s">
        <v>505</v>
      </c>
      <c r="BI4">
        <v>7845</v>
      </c>
      <c r="BJ4">
        <v>0</v>
      </c>
    </row>
    <row r="5" spans="1:62" x14ac:dyDescent="0.35">
      <c r="A5" t="s">
        <v>477</v>
      </c>
      <c r="B5" t="s">
        <v>522</v>
      </c>
      <c r="C5" s="292">
        <v>44592</v>
      </c>
      <c r="D5" t="s">
        <v>479</v>
      </c>
      <c r="E5" t="s">
        <v>523</v>
      </c>
      <c r="F5" t="s">
        <v>524</v>
      </c>
      <c r="G5">
        <v>2022</v>
      </c>
      <c r="H5" t="s">
        <v>396</v>
      </c>
      <c r="I5" t="s">
        <v>482</v>
      </c>
      <c r="J5" t="s">
        <v>510</v>
      </c>
      <c r="K5" t="s">
        <v>525</v>
      </c>
      <c r="L5" t="s">
        <v>526</v>
      </c>
      <c r="M5" t="s">
        <v>486</v>
      </c>
      <c r="N5" t="s">
        <v>487</v>
      </c>
      <c r="O5" t="s">
        <v>511</v>
      </c>
      <c r="Q5" t="s">
        <v>488</v>
      </c>
      <c r="S5">
        <v>39690</v>
      </c>
      <c r="T5" t="s">
        <v>489</v>
      </c>
      <c r="U5" t="s">
        <v>490</v>
      </c>
      <c r="V5">
        <v>10.28</v>
      </c>
      <c r="W5">
        <v>1</v>
      </c>
      <c r="X5">
        <v>22335.5</v>
      </c>
      <c r="Z5" t="s">
        <v>491</v>
      </c>
      <c r="AA5" t="s">
        <v>491</v>
      </c>
      <c r="AB5" t="s">
        <v>491</v>
      </c>
      <c r="AC5" t="s">
        <v>491</v>
      </c>
      <c r="AD5" t="s">
        <v>492</v>
      </c>
      <c r="AE5" t="s">
        <v>492</v>
      </c>
      <c r="AF5">
        <v>2</v>
      </c>
      <c r="AG5">
        <v>2</v>
      </c>
      <c r="AH5">
        <v>0</v>
      </c>
      <c r="AI5">
        <v>0</v>
      </c>
      <c r="AJ5">
        <v>0</v>
      </c>
      <c r="AK5">
        <v>0</v>
      </c>
      <c r="AL5">
        <v>0</v>
      </c>
      <c r="AM5">
        <v>2</v>
      </c>
      <c r="AN5" t="s">
        <v>493</v>
      </c>
      <c r="AO5" t="s">
        <v>494</v>
      </c>
      <c r="AP5">
        <v>14</v>
      </c>
      <c r="AQ5" t="s">
        <v>527</v>
      </c>
      <c r="AR5" t="s">
        <v>496</v>
      </c>
      <c r="AS5">
        <v>2</v>
      </c>
      <c r="AT5" t="s">
        <v>497</v>
      </c>
      <c r="AU5" t="s">
        <v>528</v>
      </c>
      <c r="AV5" t="s">
        <v>498</v>
      </c>
      <c r="AW5" t="s">
        <v>529</v>
      </c>
      <c r="AX5">
        <v>44.797342489999998</v>
      </c>
      <c r="AY5">
        <v>-68.761545810000001</v>
      </c>
      <c r="AZ5">
        <v>1</v>
      </c>
      <c r="BA5" t="s">
        <v>514</v>
      </c>
      <c r="BB5" t="s">
        <v>501</v>
      </c>
      <c r="BC5">
        <v>4041936</v>
      </c>
      <c r="BD5">
        <v>4</v>
      </c>
      <c r="BE5" t="s">
        <v>502</v>
      </c>
      <c r="BF5" t="s">
        <v>503</v>
      </c>
      <c r="BG5" t="s">
        <v>504</v>
      </c>
      <c r="BH5" t="s">
        <v>505</v>
      </c>
      <c r="BI5">
        <v>9020</v>
      </c>
      <c r="BJ5">
        <v>0</v>
      </c>
    </row>
    <row r="6" spans="1:62" x14ac:dyDescent="0.35">
      <c r="A6" t="s">
        <v>477</v>
      </c>
      <c r="B6" t="s">
        <v>530</v>
      </c>
      <c r="C6" s="292">
        <v>45261</v>
      </c>
      <c r="D6" t="s">
        <v>479</v>
      </c>
      <c r="E6" t="s">
        <v>507</v>
      </c>
      <c r="F6" t="s">
        <v>531</v>
      </c>
      <c r="G6">
        <v>2023</v>
      </c>
      <c r="H6" t="s">
        <v>396</v>
      </c>
      <c r="I6" t="s">
        <v>532</v>
      </c>
      <c r="J6" t="s">
        <v>510</v>
      </c>
      <c r="K6" t="s">
        <v>484</v>
      </c>
      <c r="L6" t="s">
        <v>485</v>
      </c>
      <c r="M6" t="s">
        <v>486</v>
      </c>
      <c r="N6" t="s">
        <v>487</v>
      </c>
      <c r="O6" t="s">
        <v>511</v>
      </c>
      <c r="Q6" t="s">
        <v>488</v>
      </c>
      <c r="S6">
        <v>39690</v>
      </c>
      <c r="T6" t="s">
        <v>489</v>
      </c>
      <c r="U6" t="s">
        <v>490</v>
      </c>
      <c r="V6">
        <v>10.28</v>
      </c>
      <c r="W6">
        <v>1</v>
      </c>
      <c r="X6">
        <v>22335.5</v>
      </c>
      <c r="Z6" t="s">
        <v>491</v>
      </c>
      <c r="AA6" t="s">
        <v>491</v>
      </c>
      <c r="AC6" t="s">
        <v>491</v>
      </c>
      <c r="AD6" t="s">
        <v>492</v>
      </c>
      <c r="AE6" t="s">
        <v>492</v>
      </c>
      <c r="AF6">
        <v>2</v>
      </c>
      <c r="AG6">
        <v>3</v>
      </c>
      <c r="AH6">
        <v>0</v>
      </c>
      <c r="AI6">
        <v>0</v>
      </c>
      <c r="AJ6">
        <v>0</v>
      </c>
      <c r="AK6">
        <v>0</v>
      </c>
      <c r="AL6">
        <v>0</v>
      </c>
      <c r="AM6">
        <v>3</v>
      </c>
      <c r="AN6" t="s">
        <v>493</v>
      </c>
      <c r="AO6" t="s">
        <v>494</v>
      </c>
      <c r="AP6">
        <v>17</v>
      </c>
      <c r="AQ6" t="s">
        <v>495</v>
      </c>
      <c r="AR6" t="s">
        <v>496</v>
      </c>
      <c r="AS6">
        <v>6</v>
      </c>
      <c r="AT6" t="s">
        <v>497</v>
      </c>
      <c r="AU6" t="s">
        <v>530</v>
      </c>
      <c r="AV6" t="s">
        <v>498</v>
      </c>
      <c r="AW6" t="s">
        <v>533</v>
      </c>
      <c r="AX6">
        <v>44.797049169999987</v>
      </c>
      <c r="AY6">
        <v>-68.761350610000008</v>
      </c>
      <c r="AZ6">
        <v>12</v>
      </c>
      <c r="BA6" t="s">
        <v>534</v>
      </c>
      <c r="BB6" t="s">
        <v>501</v>
      </c>
      <c r="BC6">
        <v>4041936</v>
      </c>
      <c r="BD6">
        <v>4</v>
      </c>
      <c r="BE6" t="s">
        <v>502</v>
      </c>
      <c r="BF6" t="s">
        <v>503</v>
      </c>
      <c r="BG6" t="s">
        <v>504</v>
      </c>
      <c r="BH6" t="s">
        <v>505</v>
      </c>
      <c r="BI6">
        <v>11187</v>
      </c>
      <c r="BJ6">
        <v>0</v>
      </c>
    </row>
    <row r="7" spans="1:62" x14ac:dyDescent="0.35">
      <c r="A7" t="s">
        <v>477</v>
      </c>
      <c r="B7" t="s">
        <v>535</v>
      </c>
      <c r="C7" s="292">
        <v>45299</v>
      </c>
      <c r="D7" t="s">
        <v>479</v>
      </c>
      <c r="E7" t="s">
        <v>536</v>
      </c>
      <c r="F7" t="s">
        <v>537</v>
      </c>
      <c r="G7">
        <v>2024</v>
      </c>
      <c r="H7" t="s">
        <v>396</v>
      </c>
      <c r="I7" t="s">
        <v>532</v>
      </c>
      <c r="J7" t="s">
        <v>510</v>
      </c>
      <c r="K7" t="s">
        <v>484</v>
      </c>
      <c r="L7" t="s">
        <v>485</v>
      </c>
      <c r="M7" t="s">
        <v>486</v>
      </c>
      <c r="N7" t="s">
        <v>487</v>
      </c>
      <c r="Q7" t="s">
        <v>488</v>
      </c>
      <c r="S7">
        <v>39690</v>
      </c>
      <c r="T7" t="s">
        <v>489</v>
      </c>
      <c r="U7" t="s">
        <v>490</v>
      </c>
      <c r="V7">
        <v>10.28</v>
      </c>
      <c r="W7">
        <v>1</v>
      </c>
      <c r="X7">
        <v>22335.5</v>
      </c>
      <c r="Z7" t="s">
        <v>491</v>
      </c>
      <c r="AA7" t="s">
        <v>491</v>
      </c>
      <c r="AC7" t="s">
        <v>491</v>
      </c>
      <c r="AD7" t="s">
        <v>492</v>
      </c>
      <c r="AE7" t="s">
        <v>492</v>
      </c>
      <c r="AF7">
        <v>2</v>
      </c>
      <c r="AG7">
        <v>1</v>
      </c>
      <c r="AH7">
        <v>0</v>
      </c>
      <c r="AI7">
        <v>0</v>
      </c>
      <c r="AJ7">
        <v>0</v>
      </c>
      <c r="AK7">
        <v>0</v>
      </c>
      <c r="AL7">
        <v>0</v>
      </c>
      <c r="AM7">
        <v>1</v>
      </c>
      <c r="AN7" t="s">
        <v>493</v>
      </c>
      <c r="AO7" t="s">
        <v>494</v>
      </c>
      <c r="AP7">
        <v>17</v>
      </c>
      <c r="AQ7" t="s">
        <v>495</v>
      </c>
      <c r="AR7" t="s">
        <v>496</v>
      </c>
      <c r="AS7">
        <v>2</v>
      </c>
      <c r="AT7" t="s">
        <v>497</v>
      </c>
      <c r="AU7" t="s">
        <v>538</v>
      </c>
      <c r="AV7" t="s">
        <v>498</v>
      </c>
      <c r="AW7" t="s">
        <v>539</v>
      </c>
      <c r="AX7">
        <v>44.797049169999987</v>
      </c>
      <c r="AY7">
        <v>-68.761350610000008</v>
      </c>
      <c r="AZ7">
        <v>1</v>
      </c>
      <c r="BA7" t="s">
        <v>514</v>
      </c>
      <c r="BB7" t="s">
        <v>501</v>
      </c>
      <c r="BC7">
        <v>4041936</v>
      </c>
      <c r="BD7">
        <v>4</v>
      </c>
      <c r="BE7" t="s">
        <v>502</v>
      </c>
      <c r="BF7" t="s">
        <v>503</v>
      </c>
      <c r="BG7" t="s">
        <v>504</v>
      </c>
      <c r="BH7" t="s">
        <v>505</v>
      </c>
      <c r="BI7">
        <v>18233</v>
      </c>
      <c r="BJ7">
        <v>0</v>
      </c>
    </row>
    <row r="8" spans="1:62" x14ac:dyDescent="0.35">
      <c r="A8" t="s">
        <v>477</v>
      </c>
      <c r="B8" t="s">
        <v>540</v>
      </c>
      <c r="C8" s="292">
        <v>43263</v>
      </c>
      <c r="D8" t="s">
        <v>479</v>
      </c>
      <c r="E8" t="s">
        <v>541</v>
      </c>
      <c r="F8" t="s">
        <v>542</v>
      </c>
      <c r="G8">
        <v>2018</v>
      </c>
      <c r="H8" t="s">
        <v>396</v>
      </c>
      <c r="I8" t="s">
        <v>482</v>
      </c>
      <c r="J8" t="s">
        <v>483</v>
      </c>
      <c r="K8" t="s">
        <v>484</v>
      </c>
      <c r="L8" t="s">
        <v>485</v>
      </c>
      <c r="M8" t="s">
        <v>486</v>
      </c>
      <c r="N8" t="s">
        <v>487</v>
      </c>
      <c r="O8" t="s">
        <v>518</v>
      </c>
      <c r="Q8" t="s">
        <v>488</v>
      </c>
      <c r="S8">
        <v>39690</v>
      </c>
      <c r="T8" t="s">
        <v>489</v>
      </c>
      <c r="U8" t="s">
        <v>490</v>
      </c>
      <c r="V8">
        <v>10.28</v>
      </c>
      <c r="W8">
        <v>1</v>
      </c>
      <c r="X8">
        <v>22335.5</v>
      </c>
      <c r="Z8" t="s">
        <v>491</v>
      </c>
      <c r="AA8" t="s">
        <v>491</v>
      </c>
      <c r="AB8" t="s">
        <v>491</v>
      </c>
      <c r="AC8" t="s">
        <v>491</v>
      </c>
      <c r="AD8" t="s">
        <v>492</v>
      </c>
      <c r="AE8" t="s">
        <v>492</v>
      </c>
      <c r="AF8">
        <v>2</v>
      </c>
      <c r="AG8">
        <v>3</v>
      </c>
      <c r="AH8">
        <v>0</v>
      </c>
      <c r="AI8">
        <v>0</v>
      </c>
      <c r="AJ8">
        <v>0</v>
      </c>
      <c r="AK8">
        <v>0</v>
      </c>
      <c r="AL8">
        <v>0</v>
      </c>
      <c r="AM8">
        <v>3</v>
      </c>
      <c r="AN8" t="s">
        <v>493</v>
      </c>
      <c r="AO8" t="s">
        <v>494</v>
      </c>
      <c r="AP8">
        <v>11</v>
      </c>
      <c r="AQ8" t="s">
        <v>495</v>
      </c>
      <c r="AR8" t="s">
        <v>496</v>
      </c>
      <c r="AS8">
        <v>3</v>
      </c>
      <c r="AT8" t="s">
        <v>497</v>
      </c>
      <c r="AU8" t="s">
        <v>540</v>
      </c>
      <c r="AV8" t="s">
        <v>498</v>
      </c>
      <c r="AW8" t="s">
        <v>543</v>
      </c>
      <c r="AX8">
        <v>44.797049169999987</v>
      </c>
      <c r="AY8">
        <v>-68.761350610000008</v>
      </c>
      <c r="AZ8">
        <v>6</v>
      </c>
      <c r="BA8" t="s">
        <v>544</v>
      </c>
      <c r="BB8" t="s">
        <v>501</v>
      </c>
      <c r="BC8">
        <v>4041936</v>
      </c>
      <c r="BD8">
        <v>4</v>
      </c>
      <c r="BE8" t="s">
        <v>502</v>
      </c>
      <c r="BF8" t="s">
        <v>503</v>
      </c>
      <c r="BG8" t="s">
        <v>504</v>
      </c>
      <c r="BH8" t="s">
        <v>505</v>
      </c>
      <c r="BI8">
        <v>21451</v>
      </c>
      <c r="BJ8">
        <v>0</v>
      </c>
    </row>
    <row r="9" spans="1:62" x14ac:dyDescent="0.35">
      <c r="A9" t="s">
        <v>477</v>
      </c>
      <c r="B9" t="s">
        <v>545</v>
      </c>
      <c r="C9" s="292">
        <v>43381</v>
      </c>
      <c r="D9" t="s">
        <v>479</v>
      </c>
      <c r="E9" t="s">
        <v>523</v>
      </c>
      <c r="F9" t="s">
        <v>546</v>
      </c>
      <c r="G9">
        <v>2018</v>
      </c>
      <c r="H9" t="s">
        <v>396</v>
      </c>
      <c r="I9" t="s">
        <v>482</v>
      </c>
      <c r="J9" t="s">
        <v>510</v>
      </c>
      <c r="K9" t="s">
        <v>484</v>
      </c>
      <c r="L9" t="s">
        <v>485</v>
      </c>
      <c r="M9" t="s">
        <v>486</v>
      </c>
      <c r="N9" t="s">
        <v>487</v>
      </c>
      <c r="Q9" t="s">
        <v>488</v>
      </c>
      <c r="S9">
        <v>39690</v>
      </c>
      <c r="T9" t="s">
        <v>489</v>
      </c>
      <c r="U9" t="s">
        <v>490</v>
      </c>
      <c r="V9">
        <v>10.28</v>
      </c>
      <c r="W9">
        <v>1</v>
      </c>
      <c r="X9">
        <v>22335.5</v>
      </c>
      <c r="Z9" t="s">
        <v>491</v>
      </c>
      <c r="AA9" t="s">
        <v>491</v>
      </c>
      <c r="AB9" t="s">
        <v>491</v>
      </c>
      <c r="AC9" t="s">
        <v>491</v>
      </c>
      <c r="AD9" t="s">
        <v>492</v>
      </c>
      <c r="AE9" t="s">
        <v>492</v>
      </c>
      <c r="AF9">
        <v>2</v>
      </c>
      <c r="AG9">
        <v>1</v>
      </c>
      <c r="AH9">
        <v>0</v>
      </c>
      <c r="AI9">
        <v>0</v>
      </c>
      <c r="AJ9">
        <v>0</v>
      </c>
      <c r="AK9">
        <v>0</v>
      </c>
      <c r="AL9">
        <v>0</v>
      </c>
      <c r="AM9">
        <v>1</v>
      </c>
      <c r="AN9" t="s">
        <v>493</v>
      </c>
      <c r="AO9" t="s">
        <v>494</v>
      </c>
      <c r="AP9">
        <v>12</v>
      </c>
      <c r="AQ9" t="s">
        <v>495</v>
      </c>
      <c r="AR9" t="s">
        <v>496</v>
      </c>
      <c r="AS9">
        <v>2</v>
      </c>
      <c r="AT9" t="s">
        <v>497</v>
      </c>
      <c r="AU9" t="s">
        <v>545</v>
      </c>
      <c r="AV9" t="s">
        <v>498</v>
      </c>
      <c r="AW9" t="s">
        <v>547</v>
      </c>
      <c r="AX9">
        <v>44.797049169999987</v>
      </c>
      <c r="AY9">
        <v>-68.761350610000008</v>
      </c>
      <c r="AZ9">
        <v>10</v>
      </c>
      <c r="BA9" t="s">
        <v>548</v>
      </c>
      <c r="BB9" t="s">
        <v>501</v>
      </c>
      <c r="BC9">
        <v>4041936</v>
      </c>
      <c r="BD9">
        <v>4</v>
      </c>
      <c r="BE9" t="s">
        <v>502</v>
      </c>
      <c r="BF9" t="s">
        <v>503</v>
      </c>
      <c r="BG9" t="s">
        <v>504</v>
      </c>
      <c r="BH9" t="s">
        <v>505</v>
      </c>
      <c r="BI9">
        <v>26476</v>
      </c>
      <c r="BJ9">
        <v>0</v>
      </c>
    </row>
    <row r="10" spans="1:62" x14ac:dyDescent="0.35">
      <c r="A10" t="s">
        <v>477</v>
      </c>
      <c r="B10" t="s">
        <v>554</v>
      </c>
      <c r="C10" s="292">
        <v>44145</v>
      </c>
      <c r="D10" t="s">
        <v>479</v>
      </c>
      <c r="E10" t="s">
        <v>541</v>
      </c>
      <c r="F10" t="s">
        <v>555</v>
      </c>
      <c r="G10">
        <v>2020</v>
      </c>
      <c r="H10" t="s">
        <v>396</v>
      </c>
      <c r="I10" t="s">
        <v>482</v>
      </c>
      <c r="J10" t="s">
        <v>510</v>
      </c>
      <c r="K10" t="s">
        <v>556</v>
      </c>
      <c r="L10" t="s">
        <v>485</v>
      </c>
      <c r="M10" t="s">
        <v>486</v>
      </c>
      <c r="O10" t="s">
        <v>557</v>
      </c>
      <c r="Q10" t="s">
        <v>488</v>
      </c>
      <c r="T10" t="s">
        <v>489</v>
      </c>
      <c r="U10" t="s">
        <v>490</v>
      </c>
      <c r="V10">
        <v>10.34</v>
      </c>
      <c r="W10">
        <v>2</v>
      </c>
      <c r="X10">
        <v>12872</v>
      </c>
      <c r="Y10">
        <v>25</v>
      </c>
      <c r="Z10" t="s">
        <v>491</v>
      </c>
      <c r="AA10" t="s">
        <v>491</v>
      </c>
      <c r="AB10" t="s">
        <v>491</v>
      </c>
      <c r="AC10" t="s">
        <v>491</v>
      </c>
      <c r="AD10" t="s">
        <v>492</v>
      </c>
      <c r="AE10" t="s">
        <v>492</v>
      </c>
      <c r="AF10">
        <v>2</v>
      </c>
      <c r="AG10">
        <v>2</v>
      </c>
      <c r="AH10">
        <v>0</v>
      </c>
      <c r="AI10">
        <v>0</v>
      </c>
      <c r="AJ10">
        <v>0</v>
      </c>
      <c r="AK10">
        <v>0</v>
      </c>
      <c r="AL10">
        <v>0</v>
      </c>
      <c r="AM10">
        <v>2</v>
      </c>
      <c r="AN10" t="s">
        <v>493</v>
      </c>
      <c r="AO10" t="s">
        <v>494</v>
      </c>
      <c r="AP10">
        <v>13</v>
      </c>
      <c r="AQ10" t="s">
        <v>396</v>
      </c>
      <c r="AR10" t="s">
        <v>558</v>
      </c>
      <c r="AS10">
        <v>3</v>
      </c>
      <c r="AT10" t="s">
        <v>497</v>
      </c>
      <c r="AU10" t="s">
        <v>554</v>
      </c>
      <c r="AV10" t="s">
        <v>498</v>
      </c>
      <c r="AW10" t="s">
        <v>559</v>
      </c>
      <c r="AX10">
        <v>44.797604550000003</v>
      </c>
      <c r="AY10">
        <v>-68.760318830000003</v>
      </c>
      <c r="AZ10">
        <v>11</v>
      </c>
      <c r="BA10" t="s">
        <v>551</v>
      </c>
      <c r="BB10" t="s">
        <v>501</v>
      </c>
      <c r="BC10">
        <v>4041934</v>
      </c>
      <c r="BD10">
        <v>4</v>
      </c>
      <c r="BE10" t="s">
        <v>502</v>
      </c>
      <c r="BF10" t="s">
        <v>503</v>
      </c>
      <c r="BG10" t="s">
        <v>504</v>
      </c>
      <c r="BH10" t="s">
        <v>560</v>
      </c>
      <c r="BI10">
        <v>37622</v>
      </c>
      <c r="BJ10">
        <v>0.01</v>
      </c>
    </row>
    <row r="11" spans="1:62" x14ac:dyDescent="0.35">
      <c r="A11" t="s">
        <v>477</v>
      </c>
      <c r="B11" t="s">
        <v>561</v>
      </c>
      <c r="C11" s="292">
        <v>44938</v>
      </c>
      <c r="D11" t="s">
        <v>479</v>
      </c>
      <c r="E11" t="s">
        <v>516</v>
      </c>
      <c r="F11" t="s">
        <v>562</v>
      </c>
      <c r="G11">
        <v>2023</v>
      </c>
      <c r="H11" t="s">
        <v>396</v>
      </c>
      <c r="I11" t="s">
        <v>482</v>
      </c>
      <c r="J11" t="s">
        <v>510</v>
      </c>
      <c r="K11" t="s">
        <v>484</v>
      </c>
      <c r="L11" t="s">
        <v>485</v>
      </c>
      <c r="M11" t="s">
        <v>563</v>
      </c>
      <c r="N11" t="s">
        <v>487</v>
      </c>
      <c r="O11" t="s">
        <v>564</v>
      </c>
      <c r="Q11" t="s">
        <v>488</v>
      </c>
      <c r="S11">
        <v>39690</v>
      </c>
      <c r="T11" t="s">
        <v>489</v>
      </c>
      <c r="U11" t="s">
        <v>490</v>
      </c>
      <c r="V11">
        <v>10.28</v>
      </c>
      <c r="W11">
        <v>1</v>
      </c>
      <c r="X11">
        <v>22335.5</v>
      </c>
      <c r="Z11" t="s">
        <v>491</v>
      </c>
      <c r="AA11" t="s">
        <v>491</v>
      </c>
      <c r="AC11" t="s">
        <v>491</v>
      </c>
      <c r="AD11" t="s">
        <v>492</v>
      </c>
      <c r="AE11" t="s">
        <v>492</v>
      </c>
      <c r="AF11">
        <v>2</v>
      </c>
      <c r="AG11">
        <v>2</v>
      </c>
      <c r="AH11">
        <v>0</v>
      </c>
      <c r="AI11">
        <v>0</v>
      </c>
      <c r="AJ11">
        <v>0</v>
      </c>
      <c r="AK11">
        <v>0</v>
      </c>
      <c r="AL11">
        <v>0</v>
      </c>
      <c r="AM11">
        <v>2</v>
      </c>
      <c r="AN11" t="s">
        <v>493</v>
      </c>
      <c r="AO11" t="s">
        <v>494</v>
      </c>
      <c r="AP11">
        <v>13</v>
      </c>
      <c r="AQ11" t="s">
        <v>495</v>
      </c>
      <c r="AR11" t="s">
        <v>496</v>
      </c>
      <c r="AS11">
        <v>5</v>
      </c>
      <c r="AT11" t="s">
        <v>497</v>
      </c>
      <c r="AU11" t="s">
        <v>565</v>
      </c>
      <c r="AV11" t="s">
        <v>498</v>
      </c>
      <c r="AW11" t="s">
        <v>566</v>
      </c>
      <c r="AX11">
        <v>44.797049169999987</v>
      </c>
      <c r="AY11">
        <v>-68.761350610000008</v>
      </c>
      <c r="AZ11">
        <v>1</v>
      </c>
      <c r="BA11" t="s">
        <v>514</v>
      </c>
      <c r="BB11" t="s">
        <v>501</v>
      </c>
      <c r="BC11">
        <v>4041936</v>
      </c>
      <c r="BD11">
        <v>4</v>
      </c>
      <c r="BE11" t="s">
        <v>502</v>
      </c>
      <c r="BF11" t="s">
        <v>503</v>
      </c>
      <c r="BG11" t="s">
        <v>504</v>
      </c>
      <c r="BH11" t="s">
        <v>505</v>
      </c>
      <c r="BI11">
        <v>43357</v>
      </c>
      <c r="BJ11">
        <v>0</v>
      </c>
    </row>
    <row r="12" spans="1:62" x14ac:dyDescent="0.35">
      <c r="A12" t="s">
        <v>477</v>
      </c>
      <c r="B12" t="s">
        <v>567</v>
      </c>
      <c r="C12" s="292">
        <v>45311</v>
      </c>
      <c r="D12" t="s">
        <v>479</v>
      </c>
      <c r="E12" t="s">
        <v>568</v>
      </c>
      <c r="F12" t="s">
        <v>569</v>
      </c>
      <c r="G12">
        <v>2024</v>
      </c>
      <c r="H12" t="s">
        <v>396</v>
      </c>
      <c r="I12" t="s">
        <v>570</v>
      </c>
      <c r="J12" t="s">
        <v>483</v>
      </c>
      <c r="K12" t="s">
        <v>484</v>
      </c>
      <c r="L12" t="s">
        <v>485</v>
      </c>
      <c r="M12" t="s">
        <v>486</v>
      </c>
      <c r="N12" t="s">
        <v>487</v>
      </c>
      <c r="O12" t="s">
        <v>518</v>
      </c>
      <c r="Q12" t="s">
        <v>488</v>
      </c>
      <c r="S12">
        <v>39690</v>
      </c>
      <c r="T12" t="s">
        <v>489</v>
      </c>
      <c r="U12" t="s">
        <v>490</v>
      </c>
      <c r="V12">
        <v>10.28</v>
      </c>
      <c r="W12">
        <v>1</v>
      </c>
      <c r="X12">
        <v>22335.5</v>
      </c>
      <c r="Z12" t="s">
        <v>491</v>
      </c>
      <c r="AA12" t="s">
        <v>491</v>
      </c>
      <c r="AC12" t="s">
        <v>491</v>
      </c>
      <c r="AD12" t="s">
        <v>492</v>
      </c>
      <c r="AE12" t="s">
        <v>492</v>
      </c>
      <c r="AF12">
        <v>2</v>
      </c>
      <c r="AG12">
        <v>4</v>
      </c>
      <c r="AH12">
        <v>0</v>
      </c>
      <c r="AI12">
        <v>0</v>
      </c>
      <c r="AJ12">
        <v>0</v>
      </c>
      <c r="AK12">
        <v>0</v>
      </c>
      <c r="AL12">
        <v>0</v>
      </c>
      <c r="AM12">
        <v>4</v>
      </c>
      <c r="AN12" t="s">
        <v>493</v>
      </c>
      <c r="AO12" t="s">
        <v>494</v>
      </c>
      <c r="AP12">
        <v>19</v>
      </c>
      <c r="AQ12" t="s">
        <v>495</v>
      </c>
      <c r="AR12" t="s">
        <v>496</v>
      </c>
      <c r="AS12">
        <v>7</v>
      </c>
      <c r="AT12" t="s">
        <v>497</v>
      </c>
      <c r="AU12" t="s">
        <v>571</v>
      </c>
      <c r="AV12" t="s">
        <v>498</v>
      </c>
      <c r="AW12" t="s">
        <v>572</v>
      </c>
      <c r="AX12">
        <v>44.797049169999987</v>
      </c>
      <c r="AY12">
        <v>-68.761350610000008</v>
      </c>
      <c r="AZ12">
        <v>1</v>
      </c>
      <c r="BA12" t="s">
        <v>514</v>
      </c>
      <c r="BB12" t="s">
        <v>501</v>
      </c>
      <c r="BC12">
        <v>4041936</v>
      </c>
      <c r="BD12">
        <v>4</v>
      </c>
      <c r="BE12" t="s">
        <v>502</v>
      </c>
      <c r="BF12" t="s">
        <v>503</v>
      </c>
      <c r="BG12" t="s">
        <v>504</v>
      </c>
      <c r="BH12" t="s">
        <v>505</v>
      </c>
      <c r="BI12">
        <v>43953</v>
      </c>
      <c r="BJ12">
        <v>0</v>
      </c>
    </row>
    <row r="13" spans="1:62" x14ac:dyDescent="0.35">
      <c r="A13" t="s">
        <v>477</v>
      </c>
      <c r="B13" t="s">
        <v>573</v>
      </c>
      <c r="C13" s="292">
        <v>45574</v>
      </c>
      <c r="D13" t="s">
        <v>479</v>
      </c>
      <c r="E13" t="s">
        <v>574</v>
      </c>
      <c r="F13" t="s">
        <v>575</v>
      </c>
      <c r="G13">
        <v>2024</v>
      </c>
      <c r="H13" t="s">
        <v>396</v>
      </c>
      <c r="I13" t="s">
        <v>482</v>
      </c>
      <c r="J13" t="s">
        <v>483</v>
      </c>
      <c r="K13" t="s">
        <v>576</v>
      </c>
      <c r="L13" t="s">
        <v>485</v>
      </c>
      <c r="M13" t="s">
        <v>486</v>
      </c>
      <c r="O13" t="s">
        <v>553</v>
      </c>
      <c r="Q13" t="s">
        <v>496</v>
      </c>
      <c r="T13" t="s">
        <v>489</v>
      </c>
      <c r="U13" t="s">
        <v>490</v>
      </c>
      <c r="V13">
        <v>10.33</v>
      </c>
      <c r="W13">
        <v>2</v>
      </c>
      <c r="X13">
        <v>12872</v>
      </c>
      <c r="Y13">
        <v>25</v>
      </c>
      <c r="Z13" t="s">
        <v>491</v>
      </c>
      <c r="AA13" t="s">
        <v>491</v>
      </c>
      <c r="AC13" t="s">
        <v>491</v>
      </c>
      <c r="AD13" t="s">
        <v>492</v>
      </c>
      <c r="AE13" t="s">
        <v>492</v>
      </c>
      <c r="AF13">
        <v>2</v>
      </c>
      <c r="AG13">
        <v>2</v>
      </c>
      <c r="AH13">
        <v>0</v>
      </c>
      <c r="AI13">
        <v>0</v>
      </c>
      <c r="AJ13">
        <v>0</v>
      </c>
      <c r="AK13">
        <v>0</v>
      </c>
      <c r="AL13">
        <v>0</v>
      </c>
      <c r="AM13">
        <v>2</v>
      </c>
      <c r="AN13" t="s">
        <v>493</v>
      </c>
      <c r="AO13" t="s">
        <v>494</v>
      </c>
      <c r="AP13">
        <v>16</v>
      </c>
      <c r="AQ13" t="s">
        <v>396</v>
      </c>
      <c r="AR13" t="s">
        <v>558</v>
      </c>
      <c r="AS13">
        <v>4</v>
      </c>
      <c r="AT13" t="s">
        <v>497</v>
      </c>
      <c r="AU13" t="s">
        <v>573</v>
      </c>
      <c r="AV13" t="s">
        <v>498</v>
      </c>
      <c r="AW13" t="s">
        <v>577</v>
      </c>
      <c r="AX13">
        <v>44.797473710000013</v>
      </c>
      <c r="AY13">
        <v>-68.760563649999995</v>
      </c>
      <c r="AZ13">
        <v>10</v>
      </c>
      <c r="BA13" t="s">
        <v>548</v>
      </c>
      <c r="BB13" t="s">
        <v>501</v>
      </c>
      <c r="BC13">
        <v>4041934</v>
      </c>
      <c r="BD13">
        <v>4</v>
      </c>
      <c r="BE13" t="s">
        <v>502</v>
      </c>
      <c r="BF13" t="s">
        <v>503</v>
      </c>
      <c r="BG13" t="s">
        <v>504</v>
      </c>
      <c r="BH13" t="s">
        <v>560</v>
      </c>
      <c r="BI13">
        <v>47333</v>
      </c>
      <c r="BJ13">
        <v>0.02</v>
      </c>
    </row>
    <row r="14" spans="1:62" x14ac:dyDescent="0.35">
      <c r="A14" t="s">
        <v>477</v>
      </c>
      <c r="B14" t="s">
        <v>578</v>
      </c>
      <c r="C14" s="292">
        <v>43799</v>
      </c>
      <c r="D14" t="s">
        <v>479</v>
      </c>
      <c r="E14" t="s">
        <v>552</v>
      </c>
      <c r="F14" t="s">
        <v>579</v>
      </c>
      <c r="G14">
        <v>2019</v>
      </c>
      <c r="H14" t="s">
        <v>396</v>
      </c>
      <c r="I14" t="s">
        <v>482</v>
      </c>
      <c r="J14" t="s">
        <v>510</v>
      </c>
      <c r="K14" t="s">
        <v>556</v>
      </c>
      <c r="L14" t="s">
        <v>485</v>
      </c>
      <c r="M14" t="s">
        <v>486</v>
      </c>
      <c r="O14" t="s">
        <v>511</v>
      </c>
      <c r="Q14" t="s">
        <v>488</v>
      </c>
      <c r="T14" t="s">
        <v>489</v>
      </c>
      <c r="U14" t="s">
        <v>490</v>
      </c>
      <c r="V14">
        <v>10.33</v>
      </c>
      <c r="W14">
        <v>2</v>
      </c>
      <c r="X14">
        <v>12872</v>
      </c>
      <c r="Y14">
        <v>25</v>
      </c>
      <c r="Z14" t="s">
        <v>491</v>
      </c>
      <c r="AA14" t="s">
        <v>491</v>
      </c>
      <c r="AB14" t="s">
        <v>491</v>
      </c>
      <c r="AC14" t="s">
        <v>491</v>
      </c>
      <c r="AD14" t="s">
        <v>492</v>
      </c>
      <c r="AE14" t="s">
        <v>492</v>
      </c>
      <c r="AF14">
        <v>2</v>
      </c>
      <c r="AG14">
        <v>4</v>
      </c>
      <c r="AH14">
        <v>0</v>
      </c>
      <c r="AI14">
        <v>0</v>
      </c>
      <c r="AJ14">
        <v>0</v>
      </c>
      <c r="AK14">
        <v>0</v>
      </c>
      <c r="AL14">
        <v>0</v>
      </c>
      <c r="AM14">
        <v>4</v>
      </c>
      <c r="AN14" t="s">
        <v>493</v>
      </c>
      <c r="AO14" t="s">
        <v>494</v>
      </c>
      <c r="AP14">
        <v>12</v>
      </c>
      <c r="AQ14" t="s">
        <v>396</v>
      </c>
      <c r="AR14" t="s">
        <v>558</v>
      </c>
      <c r="AS14">
        <v>7</v>
      </c>
      <c r="AT14" t="s">
        <v>497</v>
      </c>
      <c r="AU14" t="s">
        <v>578</v>
      </c>
      <c r="AV14" t="s">
        <v>498</v>
      </c>
      <c r="AW14" t="s">
        <v>580</v>
      </c>
      <c r="AX14">
        <v>44.797499999999999</v>
      </c>
      <c r="AY14">
        <v>-68.760509999999996</v>
      </c>
      <c r="AZ14">
        <v>11</v>
      </c>
      <c r="BA14" t="s">
        <v>551</v>
      </c>
      <c r="BB14" t="s">
        <v>501</v>
      </c>
      <c r="BC14">
        <v>4041934</v>
      </c>
      <c r="BD14">
        <v>4</v>
      </c>
      <c r="BE14" t="s">
        <v>502</v>
      </c>
      <c r="BF14" t="s">
        <v>503</v>
      </c>
      <c r="BG14" t="s">
        <v>504</v>
      </c>
      <c r="BH14" t="s">
        <v>560</v>
      </c>
      <c r="BI14">
        <v>49392</v>
      </c>
      <c r="BJ14">
        <v>0.02</v>
      </c>
    </row>
    <row r="15" spans="1:62" x14ac:dyDescent="0.35">
      <c r="A15" t="s">
        <v>477</v>
      </c>
      <c r="B15" t="s">
        <v>581</v>
      </c>
      <c r="C15" s="292">
        <v>43801</v>
      </c>
      <c r="D15" t="s">
        <v>479</v>
      </c>
      <c r="E15" t="s">
        <v>523</v>
      </c>
      <c r="F15" t="s">
        <v>582</v>
      </c>
      <c r="G15">
        <v>2019</v>
      </c>
      <c r="H15" t="s">
        <v>396</v>
      </c>
      <c r="I15" t="s">
        <v>509</v>
      </c>
      <c r="J15" t="s">
        <v>510</v>
      </c>
      <c r="K15" t="s">
        <v>484</v>
      </c>
      <c r="L15" t="s">
        <v>485</v>
      </c>
      <c r="M15" t="s">
        <v>486</v>
      </c>
      <c r="N15" t="s">
        <v>487</v>
      </c>
      <c r="O15" t="s">
        <v>511</v>
      </c>
      <c r="Q15" t="s">
        <v>488</v>
      </c>
      <c r="S15">
        <v>39690</v>
      </c>
      <c r="T15" t="s">
        <v>489</v>
      </c>
      <c r="U15" t="s">
        <v>490</v>
      </c>
      <c r="V15">
        <v>10.28</v>
      </c>
      <c r="W15">
        <v>1</v>
      </c>
      <c r="X15">
        <v>22335.5</v>
      </c>
      <c r="Z15" t="s">
        <v>491</v>
      </c>
      <c r="AA15" t="s">
        <v>491</v>
      </c>
      <c r="AB15" t="s">
        <v>491</v>
      </c>
      <c r="AC15" t="s">
        <v>491</v>
      </c>
      <c r="AD15" t="s">
        <v>492</v>
      </c>
      <c r="AE15" t="s">
        <v>492</v>
      </c>
      <c r="AF15">
        <v>2</v>
      </c>
      <c r="AG15">
        <v>3</v>
      </c>
      <c r="AH15">
        <v>1</v>
      </c>
      <c r="AI15">
        <v>0</v>
      </c>
      <c r="AJ15">
        <v>0</v>
      </c>
      <c r="AK15">
        <v>0</v>
      </c>
      <c r="AL15">
        <v>1</v>
      </c>
      <c r="AM15">
        <v>2</v>
      </c>
      <c r="AN15" t="s">
        <v>519</v>
      </c>
      <c r="AO15" t="s">
        <v>494</v>
      </c>
      <c r="AP15">
        <v>16</v>
      </c>
      <c r="AQ15" t="s">
        <v>495</v>
      </c>
      <c r="AR15" t="s">
        <v>496</v>
      </c>
      <c r="AS15">
        <v>2</v>
      </c>
      <c r="AT15" t="s">
        <v>497</v>
      </c>
      <c r="AU15" t="s">
        <v>581</v>
      </c>
      <c r="AV15" t="s">
        <v>498</v>
      </c>
      <c r="AW15" t="s">
        <v>583</v>
      </c>
      <c r="AX15">
        <v>44.797049169999987</v>
      </c>
      <c r="AY15">
        <v>-68.761350610000008</v>
      </c>
      <c r="AZ15">
        <v>12</v>
      </c>
      <c r="BA15" t="s">
        <v>534</v>
      </c>
      <c r="BB15" t="s">
        <v>501</v>
      </c>
      <c r="BC15">
        <v>4041936</v>
      </c>
      <c r="BD15">
        <v>4</v>
      </c>
      <c r="BE15" t="s">
        <v>502</v>
      </c>
      <c r="BF15" t="s">
        <v>503</v>
      </c>
      <c r="BG15" t="s">
        <v>504</v>
      </c>
      <c r="BH15" t="s">
        <v>505</v>
      </c>
      <c r="BI15">
        <v>50788</v>
      </c>
      <c r="BJ15">
        <v>0</v>
      </c>
    </row>
    <row r="16" spans="1:62" x14ac:dyDescent="0.35">
      <c r="A16" t="s">
        <v>477</v>
      </c>
      <c r="B16" t="s">
        <v>584</v>
      </c>
      <c r="C16" s="292">
        <v>44730</v>
      </c>
      <c r="D16" t="s">
        <v>479</v>
      </c>
      <c r="E16" t="s">
        <v>552</v>
      </c>
      <c r="F16" t="s">
        <v>585</v>
      </c>
      <c r="G16">
        <v>2022</v>
      </c>
      <c r="H16" t="s">
        <v>396</v>
      </c>
      <c r="I16" t="s">
        <v>482</v>
      </c>
      <c r="J16" t="s">
        <v>510</v>
      </c>
      <c r="K16" t="s">
        <v>484</v>
      </c>
      <c r="L16" t="s">
        <v>485</v>
      </c>
      <c r="M16" t="s">
        <v>486</v>
      </c>
      <c r="N16" t="s">
        <v>487</v>
      </c>
      <c r="O16" t="s">
        <v>586</v>
      </c>
      <c r="Q16" t="s">
        <v>488</v>
      </c>
      <c r="S16">
        <v>39690</v>
      </c>
      <c r="T16" t="s">
        <v>489</v>
      </c>
      <c r="U16" t="s">
        <v>490</v>
      </c>
      <c r="V16">
        <v>10.28</v>
      </c>
      <c r="W16">
        <v>1</v>
      </c>
      <c r="X16">
        <v>22335.5</v>
      </c>
      <c r="Z16" t="s">
        <v>491</v>
      </c>
      <c r="AA16" t="s">
        <v>491</v>
      </c>
      <c r="AB16" t="s">
        <v>491</v>
      </c>
      <c r="AC16" t="s">
        <v>491</v>
      </c>
      <c r="AD16" t="s">
        <v>492</v>
      </c>
      <c r="AE16" t="s">
        <v>492</v>
      </c>
      <c r="AF16">
        <v>2</v>
      </c>
      <c r="AG16">
        <v>3</v>
      </c>
      <c r="AH16">
        <v>1</v>
      </c>
      <c r="AI16">
        <v>0</v>
      </c>
      <c r="AJ16">
        <v>0</v>
      </c>
      <c r="AK16">
        <v>0</v>
      </c>
      <c r="AL16">
        <v>1</v>
      </c>
      <c r="AM16">
        <v>2</v>
      </c>
      <c r="AN16" t="s">
        <v>519</v>
      </c>
      <c r="AO16" t="s">
        <v>494</v>
      </c>
      <c r="AP16">
        <v>17</v>
      </c>
      <c r="AQ16" t="s">
        <v>495</v>
      </c>
      <c r="AR16" t="s">
        <v>496</v>
      </c>
      <c r="AS16">
        <v>7</v>
      </c>
      <c r="AT16" t="s">
        <v>497</v>
      </c>
      <c r="AU16" t="s">
        <v>584</v>
      </c>
      <c r="AV16" t="s">
        <v>498</v>
      </c>
      <c r="AW16" t="s">
        <v>587</v>
      </c>
      <c r="AX16">
        <v>44.797049169999987</v>
      </c>
      <c r="AY16">
        <v>-68.761350610000008</v>
      </c>
      <c r="AZ16">
        <v>6</v>
      </c>
      <c r="BA16" t="s">
        <v>544</v>
      </c>
      <c r="BB16" t="s">
        <v>501</v>
      </c>
      <c r="BC16">
        <v>4041936</v>
      </c>
      <c r="BD16">
        <v>4</v>
      </c>
      <c r="BE16" t="s">
        <v>502</v>
      </c>
      <c r="BF16" t="s">
        <v>503</v>
      </c>
      <c r="BG16" t="s">
        <v>504</v>
      </c>
      <c r="BH16" t="s">
        <v>505</v>
      </c>
      <c r="BI16">
        <v>54044</v>
      </c>
      <c r="BJ16">
        <v>0</v>
      </c>
    </row>
    <row r="17" spans="1:62" x14ac:dyDescent="0.35">
      <c r="A17" t="s">
        <v>477</v>
      </c>
      <c r="B17" t="s">
        <v>588</v>
      </c>
      <c r="C17" s="292">
        <v>45307</v>
      </c>
      <c r="D17" t="s">
        <v>479</v>
      </c>
      <c r="E17" t="s">
        <v>480</v>
      </c>
      <c r="F17" t="s">
        <v>589</v>
      </c>
      <c r="G17">
        <v>2024</v>
      </c>
      <c r="H17" t="s">
        <v>396</v>
      </c>
      <c r="I17" t="s">
        <v>532</v>
      </c>
      <c r="J17" t="s">
        <v>483</v>
      </c>
      <c r="K17" t="s">
        <v>484</v>
      </c>
      <c r="L17" t="s">
        <v>590</v>
      </c>
      <c r="M17" t="s">
        <v>590</v>
      </c>
      <c r="N17" t="s">
        <v>487</v>
      </c>
      <c r="Q17" t="s">
        <v>488</v>
      </c>
      <c r="S17">
        <v>39690</v>
      </c>
      <c r="T17" t="s">
        <v>489</v>
      </c>
      <c r="U17" t="s">
        <v>490</v>
      </c>
      <c r="V17">
        <v>10.28</v>
      </c>
      <c r="W17">
        <v>1</v>
      </c>
      <c r="X17">
        <v>22335.5</v>
      </c>
      <c r="Z17" t="s">
        <v>491</v>
      </c>
      <c r="AA17" t="s">
        <v>491</v>
      </c>
      <c r="AC17" t="s">
        <v>491</v>
      </c>
      <c r="AD17" t="s">
        <v>492</v>
      </c>
      <c r="AE17" t="s">
        <v>492</v>
      </c>
      <c r="AF17">
        <v>2</v>
      </c>
      <c r="AG17">
        <v>1</v>
      </c>
      <c r="AH17">
        <v>0</v>
      </c>
      <c r="AI17">
        <v>0</v>
      </c>
      <c r="AJ17">
        <v>0</v>
      </c>
      <c r="AK17">
        <v>0</v>
      </c>
      <c r="AL17">
        <v>0</v>
      </c>
      <c r="AM17">
        <v>1</v>
      </c>
      <c r="AN17" t="s">
        <v>493</v>
      </c>
      <c r="AO17" t="s">
        <v>494</v>
      </c>
      <c r="AP17">
        <v>16</v>
      </c>
      <c r="AQ17" t="s">
        <v>495</v>
      </c>
      <c r="AR17" t="s">
        <v>496</v>
      </c>
      <c r="AS17">
        <v>3</v>
      </c>
      <c r="AT17" t="s">
        <v>497</v>
      </c>
      <c r="AU17" t="s">
        <v>591</v>
      </c>
      <c r="AV17" t="s">
        <v>498</v>
      </c>
      <c r="AW17" t="s">
        <v>592</v>
      </c>
      <c r="AX17">
        <v>44.797049169999987</v>
      </c>
      <c r="AY17">
        <v>-68.761350610000008</v>
      </c>
      <c r="AZ17">
        <v>1</v>
      </c>
      <c r="BA17" t="s">
        <v>514</v>
      </c>
      <c r="BB17" t="s">
        <v>501</v>
      </c>
      <c r="BC17">
        <v>4041936</v>
      </c>
      <c r="BD17">
        <v>4</v>
      </c>
      <c r="BE17" t="s">
        <v>502</v>
      </c>
      <c r="BF17" t="s">
        <v>503</v>
      </c>
      <c r="BG17" t="s">
        <v>504</v>
      </c>
      <c r="BH17" t="s">
        <v>505</v>
      </c>
      <c r="BI17">
        <v>62739</v>
      </c>
      <c r="BJ17">
        <v>0</v>
      </c>
    </row>
    <row r="18" spans="1:62" x14ac:dyDescent="0.35">
      <c r="A18" t="s">
        <v>477</v>
      </c>
      <c r="B18" t="s">
        <v>593</v>
      </c>
      <c r="C18" s="292">
        <v>43982</v>
      </c>
      <c r="D18" t="s">
        <v>479</v>
      </c>
      <c r="E18" t="s">
        <v>594</v>
      </c>
      <c r="F18" t="s">
        <v>595</v>
      </c>
      <c r="G18">
        <v>2020</v>
      </c>
      <c r="H18" t="s">
        <v>396</v>
      </c>
      <c r="I18" t="s">
        <v>482</v>
      </c>
      <c r="J18" t="s">
        <v>510</v>
      </c>
      <c r="K18" t="s">
        <v>556</v>
      </c>
      <c r="L18" t="s">
        <v>485</v>
      </c>
      <c r="M18" t="s">
        <v>486</v>
      </c>
      <c r="O18" t="s">
        <v>511</v>
      </c>
      <c r="Q18" t="s">
        <v>488</v>
      </c>
      <c r="T18" t="s">
        <v>489</v>
      </c>
      <c r="U18" t="s">
        <v>490</v>
      </c>
      <c r="V18">
        <v>10.34</v>
      </c>
      <c r="W18">
        <v>2</v>
      </c>
      <c r="X18">
        <v>12872</v>
      </c>
      <c r="Y18">
        <v>25</v>
      </c>
      <c r="Z18" t="s">
        <v>491</v>
      </c>
      <c r="AA18" t="s">
        <v>491</v>
      </c>
      <c r="AB18" t="s">
        <v>491</v>
      </c>
      <c r="AC18" t="s">
        <v>491</v>
      </c>
      <c r="AD18" t="s">
        <v>492</v>
      </c>
      <c r="AE18" t="s">
        <v>492</v>
      </c>
      <c r="AF18">
        <v>2</v>
      </c>
      <c r="AG18">
        <v>2</v>
      </c>
      <c r="AH18">
        <v>0</v>
      </c>
      <c r="AI18">
        <v>0</v>
      </c>
      <c r="AJ18">
        <v>0</v>
      </c>
      <c r="AK18">
        <v>0</v>
      </c>
      <c r="AL18">
        <v>0</v>
      </c>
      <c r="AM18">
        <v>2</v>
      </c>
      <c r="AN18" t="s">
        <v>493</v>
      </c>
      <c r="AO18" t="s">
        <v>494</v>
      </c>
      <c r="AP18">
        <v>15</v>
      </c>
      <c r="AQ18" t="s">
        <v>396</v>
      </c>
      <c r="AR18" t="s">
        <v>558</v>
      </c>
      <c r="AS18">
        <v>1</v>
      </c>
      <c r="AT18" t="s">
        <v>497</v>
      </c>
      <c r="AU18" t="s">
        <v>593</v>
      </c>
      <c r="AV18" t="s">
        <v>498</v>
      </c>
      <c r="AW18" t="s">
        <v>596</v>
      </c>
      <c r="AX18">
        <v>44.797604420000013</v>
      </c>
      <c r="AY18">
        <v>-68.760319080000002</v>
      </c>
      <c r="AZ18">
        <v>5</v>
      </c>
      <c r="BA18" t="s">
        <v>597</v>
      </c>
      <c r="BB18" t="s">
        <v>501</v>
      </c>
      <c r="BC18">
        <v>4041934</v>
      </c>
      <c r="BD18">
        <v>4</v>
      </c>
      <c r="BE18" t="s">
        <v>502</v>
      </c>
      <c r="BF18" t="s">
        <v>503</v>
      </c>
      <c r="BG18" t="s">
        <v>504</v>
      </c>
      <c r="BH18" t="s">
        <v>560</v>
      </c>
      <c r="BI18">
        <v>70964</v>
      </c>
      <c r="BJ18">
        <v>0.01</v>
      </c>
    </row>
    <row r="19" spans="1:62" x14ac:dyDescent="0.35">
      <c r="A19" t="s">
        <v>477</v>
      </c>
      <c r="B19" t="s">
        <v>598</v>
      </c>
      <c r="C19" s="292">
        <v>45553</v>
      </c>
      <c r="D19" t="s">
        <v>479</v>
      </c>
      <c r="E19" t="s">
        <v>574</v>
      </c>
      <c r="F19" t="s">
        <v>599</v>
      </c>
      <c r="G19">
        <v>2024</v>
      </c>
      <c r="H19" t="s">
        <v>396</v>
      </c>
      <c r="I19" t="s">
        <v>482</v>
      </c>
      <c r="J19" t="s">
        <v>483</v>
      </c>
      <c r="K19" t="s">
        <v>484</v>
      </c>
      <c r="L19" t="s">
        <v>485</v>
      </c>
      <c r="M19" t="s">
        <v>486</v>
      </c>
      <c r="N19" t="s">
        <v>487</v>
      </c>
      <c r="O19" t="s">
        <v>518</v>
      </c>
      <c r="Q19" t="s">
        <v>488</v>
      </c>
      <c r="S19">
        <v>39690</v>
      </c>
      <c r="T19" t="s">
        <v>489</v>
      </c>
      <c r="U19" t="s">
        <v>490</v>
      </c>
      <c r="V19">
        <v>10.28</v>
      </c>
      <c r="W19">
        <v>1</v>
      </c>
      <c r="X19">
        <v>22335.5</v>
      </c>
      <c r="Z19" t="s">
        <v>491</v>
      </c>
      <c r="AA19" t="s">
        <v>491</v>
      </c>
      <c r="AC19" t="s">
        <v>491</v>
      </c>
      <c r="AD19" t="s">
        <v>492</v>
      </c>
      <c r="AE19" t="s">
        <v>492</v>
      </c>
      <c r="AF19">
        <v>2</v>
      </c>
      <c r="AG19">
        <v>3</v>
      </c>
      <c r="AH19">
        <v>0</v>
      </c>
      <c r="AI19">
        <v>0</v>
      </c>
      <c r="AJ19">
        <v>0</v>
      </c>
      <c r="AK19">
        <v>0</v>
      </c>
      <c r="AL19">
        <v>0</v>
      </c>
      <c r="AM19">
        <v>3</v>
      </c>
      <c r="AN19" t="s">
        <v>493</v>
      </c>
      <c r="AO19" t="s">
        <v>494</v>
      </c>
      <c r="AP19">
        <v>10</v>
      </c>
      <c r="AQ19" t="s">
        <v>495</v>
      </c>
      <c r="AR19" t="s">
        <v>496</v>
      </c>
      <c r="AS19">
        <v>4</v>
      </c>
      <c r="AT19" t="s">
        <v>497</v>
      </c>
      <c r="AU19" t="s">
        <v>598</v>
      </c>
      <c r="AV19" t="s">
        <v>498</v>
      </c>
      <c r="AW19" t="s">
        <v>600</v>
      </c>
      <c r="AX19">
        <v>44.797049169999987</v>
      </c>
      <c r="AY19">
        <v>-68.761350610000008</v>
      </c>
      <c r="AZ19">
        <v>9</v>
      </c>
      <c r="BA19" t="s">
        <v>601</v>
      </c>
      <c r="BB19" t="s">
        <v>501</v>
      </c>
      <c r="BC19">
        <v>4041936</v>
      </c>
      <c r="BD19">
        <v>4</v>
      </c>
      <c r="BE19" t="s">
        <v>502</v>
      </c>
      <c r="BF19" t="s">
        <v>503</v>
      </c>
      <c r="BG19" t="s">
        <v>504</v>
      </c>
      <c r="BH19" t="s">
        <v>505</v>
      </c>
      <c r="BI19">
        <v>71173</v>
      </c>
      <c r="BJ19">
        <v>0</v>
      </c>
    </row>
    <row r="20" spans="1:62" x14ac:dyDescent="0.35">
      <c r="A20" t="s">
        <v>477</v>
      </c>
      <c r="B20" t="s">
        <v>602</v>
      </c>
      <c r="C20" s="292">
        <v>45384</v>
      </c>
      <c r="D20" t="s">
        <v>479</v>
      </c>
      <c r="E20" t="s">
        <v>480</v>
      </c>
      <c r="F20" t="s">
        <v>603</v>
      </c>
      <c r="G20">
        <v>2024</v>
      </c>
      <c r="H20" t="s">
        <v>396</v>
      </c>
      <c r="I20" t="s">
        <v>482</v>
      </c>
      <c r="J20" t="s">
        <v>510</v>
      </c>
      <c r="K20" t="s">
        <v>484</v>
      </c>
      <c r="L20" t="s">
        <v>485</v>
      </c>
      <c r="M20" t="s">
        <v>486</v>
      </c>
      <c r="N20" t="s">
        <v>487</v>
      </c>
      <c r="Q20" t="s">
        <v>488</v>
      </c>
      <c r="S20">
        <v>39690</v>
      </c>
      <c r="T20" t="s">
        <v>489</v>
      </c>
      <c r="U20" t="s">
        <v>490</v>
      </c>
      <c r="V20">
        <v>10.28</v>
      </c>
      <c r="W20">
        <v>1</v>
      </c>
      <c r="X20">
        <v>22335.5</v>
      </c>
      <c r="Z20" t="s">
        <v>491</v>
      </c>
      <c r="AA20" t="s">
        <v>491</v>
      </c>
      <c r="AC20" t="s">
        <v>491</v>
      </c>
      <c r="AD20" t="s">
        <v>492</v>
      </c>
      <c r="AE20" t="s">
        <v>492</v>
      </c>
      <c r="AF20">
        <v>2</v>
      </c>
      <c r="AG20">
        <v>4</v>
      </c>
      <c r="AH20">
        <v>0</v>
      </c>
      <c r="AI20">
        <v>0</v>
      </c>
      <c r="AJ20">
        <v>0</v>
      </c>
      <c r="AK20">
        <v>0</v>
      </c>
      <c r="AL20">
        <v>0</v>
      </c>
      <c r="AM20">
        <v>3</v>
      </c>
      <c r="AN20" t="s">
        <v>493</v>
      </c>
      <c r="AO20" t="s">
        <v>494</v>
      </c>
      <c r="AP20">
        <v>15</v>
      </c>
      <c r="AQ20" t="s">
        <v>495</v>
      </c>
      <c r="AR20" t="s">
        <v>496</v>
      </c>
      <c r="AS20">
        <v>3</v>
      </c>
      <c r="AT20" t="s">
        <v>497</v>
      </c>
      <c r="AU20" t="s">
        <v>604</v>
      </c>
      <c r="AV20" t="s">
        <v>498</v>
      </c>
      <c r="AW20" t="s">
        <v>605</v>
      </c>
      <c r="AX20">
        <v>44.797049169999987</v>
      </c>
      <c r="AY20">
        <v>-68.761350610000008</v>
      </c>
      <c r="AZ20">
        <v>4</v>
      </c>
      <c r="BA20" t="s">
        <v>606</v>
      </c>
      <c r="BB20" t="s">
        <v>501</v>
      </c>
      <c r="BC20">
        <v>4041936</v>
      </c>
      <c r="BD20">
        <v>4</v>
      </c>
      <c r="BE20" t="s">
        <v>502</v>
      </c>
      <c r="BF20" t="s">
        <v>503</v>
      </c>
      <c r="BG20" t="s">
        <v>504</v>
      </c>
      <c r="BH20" t="s">
        <v>505</v>
      </c>
      <c r="BI20">
        <v>79045</v>
      </c>
      <c r="BJ20">
        <v>0</v>
      </c>
    </row>
    <row r="21" spans="1:62" x14ac:dyDescent="0.35">
      <c r="A21" t="s">
        <v>477</v>
      </c>
      <c r="B21" t="s">
        <v>607</v>
      </c>
      <c r="C21" s="292">
        <v>44333</v>
      </c>
      <c r="D21" t="s">
        <v>479</v>
      </c>
      <c r="E21" t="s">
        <v>523</v>
      </c>
      <c r="F21" t="s">
        <v>608</v>
      </c>
      <c r="G21">
        <v>2021</v>
      </c>
      <c r="H21" t="s">
        <v>396</v>
      </c>
      <c r="I21" t="s">
        <v>482</v>
      </c>
      <c r="J21" t="s">
        <v>510</v>
      </c>
      <c r="K21" t="s">
        <v>484</v>
      </c>
      <c r="L21" t="s">
        <v>485</v>
      </c>
      <c r="M21" t="s">
        <v>486</v>
      </c>
      <c r="N21" t="s">
        <v>487</v>
      </c>
      <c r="O21" t="s">
        <v>609</v>
      </c>
      <c r="Q21" t="s">
        <v>488</v>
      </c>
      <c r="S21">
        <v>39690</v>
      </c>
      <c r="T21" t="s">
        <v>489</v>
      </c>
      <c r="U21" t="s">
        <v>490</v>
      </c>
      <c r="V21">
        <v>10.28</v>
      </c>
      <c r="W21">
        <v>1</v>
      </c>
      <c r="X21">
        <v>22335.5</v>
      </c>
      <c r="Z21" t="s">
        <v>491</v>
      </c>
      <c r="AA21" t="s">
        <v>491</v>
      </c>
      <c r="AB21" t="s">
        <v>491</v>
      </c>
      <c r="AC21" t="s">
        <v>491</v>
      </c>
      <c r="AD21" t="s">
        <v>492</v>
      </c>
      <c r="AE21" t="s">
        <v>492</v>
      </c>
      <c r="AF21">
        <v>2</v>
      </c>
      <c r="AG21">
        <v>3</v>
      </c>
      <c r="AH21">
        <v>0</v>
      </c>
      <c r="AI21">
        <v>0</v>
      </c>
      <c r="AJ21">
        <v>0</v>
      </c>
      <c r="AK21">
        <v>0</v>
      </c>
      <c r="AL21">
        <v>0</v>
      </c>
      <c r="AM21">
        <v>3</v>
      </c>
      <c r="AN21" t="s">
        <v>493</v>
      </c>
      <c r="AO21" t="s">
        <v>494</v>
      </c>
      <c r="AP21">
        <v>11</v>
      </c>
      <c r="AQ21" t="s">
        <v>495</v>
      </c>
      <c r="AR21" t="s">
        <v>496</v>
      </c>
      <c r="AS21">
        <v>2</v>
      </c>
      <c r="AT21" t="s">
        <v>497</v>
      </c>
      <c r="AU21" t="s">
        <v>607</v>
      </c>
      <c r="AV21" t="s">
        <v>498</v>
      </c>
      <c r="AW21" t="s">
        <v>610</v>
      </c>
      <c r="AX21">
        <v>44.797049169999987</v>
      </c>
      <c r="AY21">
        <v>-68.761350610000008</v>
      </c>
      <c r="AZ21">
        <v>5</v>
      </c>
      <c r="BA21" t="s">
        <v>597</v>
      </c>
      <c r="BB21" t="s">
        <v>501</v>
      </c>
      <c r="BC21">
        <v>4041936</v>
      </c>
      <c r="BD21">
        <v>4</v>
      </c>
      <c r="BE21" t="s">
        <v>502</v>
      </c>
      <c r="BF21" t="s">
        <v>503</v>
      </c>
      <c r="BG21" t="s">
        <v>504</v>
      </c>
      <c r="BH21" t="s">
        <v>505</v>
      </c>
      <c r="BI21">
        <v>83433</v>
      </c>
      <c r="BJ21">
        <v>0</v>
      </c>
    </row>
    <row r="22" spans="1:62" x14ac:dyDescent="0.35">
      <c r="A22" t="s">
        <v>477</v>
      </c>
      <c r="B22" t="s">
        <v>611</v>
      </c>
      <c r="C22" s="292">
        <v>43585</v>
      </c>
      <c r="D22" t="s">
        <v>479</v>
      </c>
      <c r="E22" t="s">
        <v>541</v>
      </c>
      <c r="F22" t="s">
        <v>612</v>
      </c>
      <c r="G22">
        <v>2019</v>
      </c>
      <c r="H22" t="s">
        <v>396</v>
      </c>
      <c r="I22" t="s">
        <v>482</v>
      </c>
      <c r="J22" t="s">
        <v>510</v>
      </c>
      <c r="K22" t="s">
        <v>484</v>
      </c>
      <c r="L22" t="s">
        <v>485</v>
      </c>
      <c r="M22" t="s">
        <v>486</v>
      </c>
      <c r="N22" t="s">
        <v>487</v>
      </c>
      <c r="O22" t="s">
        <v>613</v>
      </c>
      <c r="Q22" t="s">
        <v>488</v>
      </c>
      <c r="S22">
        <v>39690</v>
      </c>
      <c r="T22" t="s">
        <v>489</v>
      </c>
      <c r="U22" t="s">
        <v>490</v>
      </c>
      <c r="V22">
        <v>10.28</v>
      </c>
      <c r="W22">
        <v>1</v>
      </c>
      <c r="X22">
        <v>22335.5</v>
      </c>
      <c r="Z22" t="s">
        <v>491</v>
      </c>
      <c r="AA22" t="s">
        <v>491</v>
      </c>
      <c r="AB22" t="s">
        <v>491</v>
      </c>
      <c r="AC22" t="s">
        <v>491</v>
      </c>
      <c r="AD22" t="s">
        <v>492</v>
      </c>
      <c r="AE22" t="s">
        <v>492</v>
      </c>
      <c r="AF22">
        <v>2</v>
      </c>
      <c r="AG22">
        <v>3</v>
      </c>
      <c r="AH22">
        <v>0</v>
      </c>
      <c r="AI22">
        <v>0</v>
      </c>
      <c r="AJ22">
        <v>0</v>
      </c>
      <c r="AK22">
        <v>0</v>
      </c>
      <c r="AL22">
        <v>0</v>
      </c>
      <c r="AM22">
        <v>3</v>
      </c>
      <c r="AN22" t="s">
        <v>493</v>
      </c>
      <c r="AO22" t="s">
        <v>494</v>
      </c>
      <c r="AP22">
        <v>16</v>
      </c>
      <c r="AQ22" t="s">
        <v>495</v>
      </c>
      <c r="AR22" t="s">
        <v>496</v>
      </c>
      <c r="AS22">
        <v>3</v>
      </c>
      <c r="AT22" t="s">
        <v>497</v>
      </c>
      <c r="AU22" t="s">
        <v>611</v>
      </c>
      <c r="AV22" t="s">
        <v>498</v>
      </c>
      <c r="AW22" t="s">
        <v>614</v>
      </c>
      <c r="AX22">
        <v>44.797049169999987</v>
      </c>
      <c r="AY22">
        <v>-68.761350610000008</v>
      </c>
      <c r="AZ22">
        <v>4</v>
      </c>
      <c r="BA22" t="s">
        <v>606</v>
      </c>
      <c r="BB22" t="s">
        <v>501</v>
      </c>
      <c r="BC22">
        <v>4041936</v>
      </c>
      <c r="BD22">
        <v>4</v>
      </c>
      <c r="BE22" t="s">
        <v>502</v>
      </c>
      <c r="BF22" t="s">
        <v>503</v>
      </c>
      <c r="BG22" t="s">
        <v>504</v>
      </c>
      <c r="BH22" t="s">
        <v>505</v>
      </c>
      <c r="BI22">
        <v>85119</v>
      </c>
      <c r="BJ22">
        <v>0</v>
      </c>
    </row>
    <row r="23" spans="1:62" x14ac:dyDescent="0.35">
      <c r="A23" t="s">
        <v>477</v>
      </c>
      <c r="B23" t="s">
        <v>615</v>
      </c>
      <c r="C23" s="292">
        <v>43586</v>
      </c>
      <c r="D23" t="s">
        <v>479</v>
      </c>
      <c r="E23" t="s">
        <v>574</v>
      </c>
      <c r="F23" t="s">
        <v>616</v>
      </c>
      <c r="G23">
        <v>2019</v>
      </c>
      <c r="H23" t="s">
        <v>396</v>
      </c>
      <c r="I23" t="s">
        <v>482</v>
      </c>
      <c r="J23" t="s">
        <v>510</v>
      </c>
      <c r="K23" t="s">
        <v>556</v>
      </c>
      <c r="L23" t="s">
        <v>485</v>
      </c>
      <c r="M23" t="s">
        <v>486</v>
      </c>
      <c r="O23" t="s">
        <v>488</v>
      </c>
      <c r="Q23" t="s">
        <v>488</v>
      </c>
      <c r="T23" t="s">
        <v>489</v>
      </c>
      <c r="U23" t="s">
        <v>490</v>
      </c>
      <c r="V23">
        <v>10.34</v>
      </c>
      <c r="W23">
        <v>2</v>
      </c>
      <c r="X23">
        <v>12872</v>
      </c>
      <c r="Y23">
        <v>25</v>
      </c>
      <c r="Z23" t="s">
        <v>491</v>
      </c>
      <c r="AA23" t="s">
        <v>491</v>
      </c>
      <c r="AB23" t="s">
        <v>491</v>
      </c>
      <c r="AC23" t="s">
        <v>491</v>
      </c>
      <c r="AD23" t="s">
        <v>492</v>
      </c>
      <c r="AE23" t="s">
        <v>492</v>
      </c>
      <c r="AF23">
        <v>2</v>
      </c>
      <c r="AG23">
        <v>2</v>
      </c>
      <c r="AH23">
        <v>0</v>
      </c>
      <c r="AI23">
        <v>0</v>
      </c>
      <c r="AJ23">
        <v>0</v>
      </c>
      <c r="AK23">
        <v>0</v>
      </c>
      <c r="AL23">
        <v>0</v>
      </c>
      <c r="AM23">
        <v>2</v>
      </c>
      <c r="AN23" t="s">
        <v>493</v>
      </c>
      <c r="AO23" t="s">
        <v>494</v>
      </c>
      <c r="AP23">
        <v>9</v>
      </c>
      <c r="AQ23" t="s">
        <v>396</v>
      </c>
      <c r="AR23" t="s">
        <v>558</v>
      </c>
      <c r="AS23">
        <v>4</v>
      </c>
      <c r="AT23" t="s">
        <v>497</v>
      </c>
      <c r="AU23" t="s">
        <v>615</v>
      </c>
      <c r="AV23" t="s">
        <v>498</v>
      </c>
      <c r="AW23" t="s">
        <v>617</v>
      </c>
      <c r="AX23">
        <v>44.797630170000012</v>
      </c>
      <c r="AY23">
        <v>-68.760270890000001</v>
      </c>
      <c r="AZ23">
        <v>5</v>
      </c>
      <c r="BA23" t="s">
        <v>597</v>
      </c>
      <c r="BB23" t="s">
        <v>501</v>
      </c>
      <c r="BC23">
        <v>4041934</v>
      </c>
      <c r="BD23">
        <v>4</v>
      </c>
      <c r="BE23" t="s">
        <v>502</v>
      </c>
      <c r="BF23" t="s">
        <v>503</v>
      </c>
      <c r="BG23" t="s">
        <v>504</v>
      </c>
      <c r="BH23" t="s">
        <v>560</v>
      </c>
      <c r="BI23">
        <v>85297</v>
      </c>
      <c r="BJ23">
        <v>0.01</v>
      </c>
    </row>
    <row r="24" spans="1:62" x14ac:dyDescent="0.35">
      <c r="A24" t="s">
        <v>477</v>
      </c>
      <c r="B24" t="s">
        <v>618</v>
      </c>
      <c r="C24" s="292">
        <v>45008</v>
      </c>
      <c r="D24" t="s">
        <v>479</v>
      </c>
      <c r="E24" t="s">
        <v>516</v>
      </c>
      <c r="F24" t="s">
        <v>619</v>
      </c>
      <c r="G24">
        <v>2023</v>
      </c>
      <c r="H24" t="s">
        <v>396</v>
      </c>
      <c r="I24" t="s">
        <v>532</v>
      </c>
      <c r="J24" t="s">
        <v>510</v>
      </c>
      <c r="K24" t="s">
        <v>484</v>
      </c>
      <c r="L24" t="s">
        <v>526</v>
      </c>
      <c r="M24" t="s">
        <v>486</v>
      </c>
      <c r="N24" t="s">
        <v>487</v>
      </c>
      <c r="O24" t="s">
        <v>564</v>
      </c>
      <c r="Q24" t="s">
        <v>488</v>
      </c>
      <c r="S24">
        <v>39690</v>
      </c>
      <c r="T24" t="s">
        <v>489</v>
      </c>
      <c r="U24" t="s">
        <v>490</v>
      </c>
      <c r="V24">
        <v>10.28</v>
      </c>
      <c r="W24">
        <v>1</v>
      </c>
      <c r="X24">
        <v>22335.5</v>
      </c>
      <c r="Z24" t="s">
        <v>491</v>
      </c>
      <c r="AA24" t="s">
        <v>491</v>
      </c>
      <c r="AC24" t="s">
        <v>491</v>
      </c>
      <c r="AD24" t="s">
        <v>492</v>
      </c>
      <c r="AE24" t="s">
        <v>492</v>
      </c>
      <c r="AF24">
        <v>2</v>
      </c>
      <c r="AG24">
        <v>2</v>
      </c>
      <c r="AH24">
        <v>0</v>
      </c>
      <c r="AI24">
        <v>0</v>
      </c>
      <c r="AJ24">
        <v>0</v>
      </c>
      <c r="AK24">
        <v>0</v>
      </c>
      <c r="AL24">
        <v>0</v>
      </c>
      <c r="AM24">
        <v>2</v>
      </c>
      <c r="AN24" t="s">
        <v>493</v>
      </c>
      <c r="AO24" t="s">
        <v>494</v>
      </c>
      <c r="AP24">
        <v>23</v>
      </c>
      <c r="AQ24" t="s">
        <v>495</v>
      </c>
      <c r="AR24" t="s">
        <v>496</v>
      </c>
      <c r="AS24">
        <v>5</v>
      </c>
      <c r="AT24" t="s">
        <v>497</v>
      </c>
      <c r="AU24" t="s">
        <v>620</v>
      </c>
      <c r="AV24" t="s">
        <v>498</v>
      </c>
      <c r="AW24" t="s">
        <v>621</v>
      </c>
      <c r="AX24">
        <v>44.797049999999999</v>
      </c>
      <c r="AY24">
        <v>-68.761350000000007</v>
      </c>
      <c r="AZ24">
        <v>3</v>
      </c>
      <c r="BA24" t="s">
        <v>622</v>
      </c>
      <c r="BB24" t="s">
        <v>501</v>
      </c>
      <c r="BC24">
        <v>4041936</v>
      </c>
      <c r="BD24">
        <v>4</v>
      </c>
      <c r="BE24" t="s">
        <v>502</v>
      </c>
      <c r="BF24" t="s">
        <v>503</v>
      </c>
      <c r="BG24" t="s">
        <v>504</v>
      </c>
      <c r="BH24" t="s">
        <v>505</v>
      </c>
      <c r="BI24">
        <v>94120</v>
      </c>
      <c r="BJ24">
        <v>0</v>
      </c>
    </row>
    <row r="25" spans="1:62" x14ac:dyDescent="0.35">
      <c r="A25" t="s">
        <v>477</v>
      </c>
      <c r="B25" t="s">
        <v>623</v>
      </c>
      <c r="C25" s="292">
        <v>45671</v>
      </c>
      <c r="D25" t="s">
        <v>479</v>
      </c>
      <c r="E25" t="s">
        <v>480</v>
      </c>
      <c r="F25" t="s">
        <v>624</v>
      </c>
      <c r="G25">
        <v>2025</v>
      </c>
      <c r="H25" t="s">
        <v>396</v>
      </c>
      <c r="I25" t="s">
        <v>482</v>
      </c>
      <c r="J25" t="s">
        <v>483</v>
      </c>
      <c r="K25" t="s">
        <v>484</v>
      </c>
      <c r="L25" t="s">
        <v>526</v>
      </c>
      <c r="M25" t="s">
        <v>563</v>
      </c>
      <c r="N25" t="s">
        <v>487</v>
      </c>
      <c r="O25" t="s">
        <v>553</v>
      </c>
      <c r="Q25" t="s">
        <v>488</v>
      </c>
      <c r="S25">
        <v>39690</v>
      </c>
      <c r="T25" t="s">
        <v>489</v>
      </c>
      <c r="U25" t="s">
        <v>490</v>
      </c>
      <c r="V25">
        <v>10.28</v>
      </c>
      <c r="W25">
        <v>1</v>
      </c>
      <c r="X25">
        <v>22335.5</v>
      </c>
      <c r="Z25" t="s">
        <v>491</v>
      </c>
      <c r="AA25" t="s">
        <v>491</v>
      </c>
      <c r="AC25" t="s">
        <v>491</v>
      </c>
      <c r="AD25" t="s">
        <v>492</v>
      </c>
      <c r="AE25" t="s">
        <v>492</v>
      </c>
      <c r="AF25">
        <v>2</v>
      </c>
      <c r="AG25">
        <v>2</v>
      </c>
      <c r="AH25">
        <v>0</v>
      </c>
      <c r="AI25">
        <v>0</v>
      </c>
      <c r="AJ25">
        <v>0</v>
      </c>
      <c r="AK25">
        <v>0</v>
      </c>
      <c r="AL25">
        <v>0</v>
      </c>
      <c r="AM25">
        <v>2</v>
      </c>
      <c r="AN25" t="s">
        <v>493</v>
      </c>
      <c r="AO25" t="s">
        <v>494</v>
      </c>
      <c r="AP25">
        <v>13</v>
      </c>
      <c r="AQ25" t="s">
        <v>495</v>
      </c>
      <c r="AR25" t="s">
        <v>496</v>
      </c>
      <c r="AS25">
        <v>3</v>
      </c>
      <c r="AT25" t="s">
        <v>497</v>
      </c>
      <c r="AU25" t="s">
        <v>625</v>
      </c>
      <c r="AV25" t="s">
        <v>498</v>
      </c>
      <c r="AW25" t="s">
        <v>626</v>
      </c>
      <c r="AX25">
        <v>44.797049169999987</v>
      </c>
      <c r="AY25">
        <v>-68.761350610000008</v>
      </c>
      <c r="AZ25">
        <v>1</v>
      </c>
      <c r="BA25" t="s">
        <v>514</v>
      </c>
      <c r="BB25" t="s">
        <v>501</v>
      </c>
      <c r="BC25">
        <v>4041936</v>
      </c>
      <c r="BD25">
        <v>4</v>
      </c>
      <c r="BE25" t="s">
        <v>502</v>
      </c>
      <c r="BF25" t="s">
        <v>503</v>
      </c>
      <c r="BG25" t="s">
        <v>504</v>
      </c>
      <c r="BH25" t="s">
        <v>505</v>
      </c>
      <c r="BI25">
        <v>94902</v>
      </c>
      <c r="BJ25">
        <v>0</v>
      </c>
    </row>
    <row r="26" spans="1:62" x14ac:dyDescent="0.35">
      <c r="A26" t="s">
        <v>477</v>
      </c>
      <c r="B26" t="s">
        <v>627</v>
      </c>
      <c r="C26" s="292">
        <v>44747</v>
      </c>
      <c r="D26" t="s">
        <v>479</v>
      </c>
      <c r="E26" t="s">
        <v>541</v>
      </c>
      <c r="F26" t="s">
        <v>616</v>
      </c>
      <c r="G26">
        <v>2022</v>
      </c>
      <c r="H26" t="s">
        <v>628</v>
      </c>
      <c r="I26" t="s">
        <v>482</v>
      </c>
      <c r="J26" t="s">
        <v>629</v>
      </c>
      <c r="K26" t="s">
        <v>484</v>
      </c>
      <c r="L26" t="s">
        <v>485</v>
      </c>
      <c r="M26" t="s">
        <v>486</v>
      </c>
      <c r="N26" t="s">
        <v>487</v>
      </c>
      <c r="O26" t="s">
        <v>630</v>
      </c>
      <c r="S26">
        <v>39690</v>
      </c>
      <c r="T26" t="s">
        <v>489</v>
      </c>
      <c r="U26" t="s">
        <v>490</v>
      </c>
      <c r="V26">
        <v>10.28</v>
      </c>
      <c r="W26">
        <v>1</v>
      </c>
      <c r="X26">
        <v>22335.5</v>
      </c>
      <c r="Z26" t="s">
        <v>491</v>
      </c>
      <c r="AA26" t="s">
        <v>491</v>
      </c>
      <c r="AB26" t="s">
        <v>491</v>
      </c>
      <c r="AC26" t="s">
        <v>491</v>
      </c>
      <c r="AD26" t="s">
        <v>492</v>
      </c>
      <c r="AE26" t="s">
        <v>492</v>
      </c>
      <c r="AF26">
        <v>1</v>
      </c>
      <c r="AG26">
        <v>1</v>
      </c>
      <c r="AH26">
        <v>0</v>
      </c>
      <c r="AI26">
        <v>0</v>
      </c>
      <c r="AJ26">
        <v>0</v>
      </c>
      <c r="AK26">
        <v>0</v>
      </c>
      <c r="AL26">
        <v>0</v>
      </c>
      <c r="AM26">
        <v>1</v>
      </c>
      <c r="AN26" t="s">
        <v>493</v>
      </c>
      <c r="AO26" t="s">
        <v>494</v>
      </c>
      <c r="AP26">
        <v>9</v>
      </c>
      <c r="AQ26" t="s">
        <v>495</v>
      </c>
      <c r="AR26" t="s">
        <v>496</v>
      </c>
      <c r="AS26">
        <v>3</v>
      </c>
      <c r="AT26" t="s">
        <v>497</v>
      </c>
      <c r="AU26" t="s">
        <v>627</v>
      </c>
      <c r="AV26" t="s">
        <v>498</v>
      </c>
      <c r="AW26" t="s">
        <v>631</v>
      </c>
      <c r="AX26">
        <v>44.797049169999987</v>
      </c>
      <c r="AY26">
        <v>-68.761350610000008</v>
      </c>
      <c r="AZ26">
        <v>7</v>
      </c>
      <c r="BA26" t="s">
        <v>500</v>
      </c>
      <c r="BB26" t="s">
        <v>501</v>
      </c>
      <c r="BC26">
        <v>4041936</v>
      </c>
      <c r="BD26">
        <v>4</v>
      </c>
      <c r="BE26" t="s">
        <v>502</v>
      </c>
      <c r="BF26" t="s">
        <v>503</v>
      </c>
      <c r="BG26" t="s">
        <v>504</v>
      </c>
      <c r="BH26" t="s">
        <v>505</v>
      </c>
      <c r="BI26">
        <v>95753</v>
      </c>
      <c r="BJ26">
        <v>0</v>
      </c>
    </row>
    <row r="27" spans="1:62" x14ac:dyDescent="0.35">
      <c r="A27" t="s">
        <v>477</v>
      </c>
      <c r="B27" t="s">
        <v>632</v>
      </c>
      <c r="C27" s="292">
        <v>45078</v>
      </c>
      <c r="D27" t="s">
        <v>479</v>
      </c>
      <c r="E27" t="s">
        <v>516</v>
      </c>
      <c r="F27" t="s">
        <v>633</v>
      </c>
      <c r="G27">
        <v>2023</v>
      </c>
      <c r="H27" t="s">
        <v>396</v>
      </c>
      <c r="I27" t="s">
        <v>482</v>
      </c>
      <c r="J27" t="s">
        <v>483</v>
      </c>
      <c r="K27" t="s">
        <v>484</v>
      </c>
      <c r="L27" t="s">
        <v>485</v>
      </c>
      <c r="M27" t="s">
        <v>486</v>
      </c>
      <c r="N27" t="s">
        <v>487</v>
      </c>
      <c r="O27" t="s">
        <v>518</v>
      </c>
      <c r="Q27" t="s">
        <v>488</v>
      </c>
      <c r="S27">
        <v>39690</v>
      </c>
      <c r="T27" t="s">
        <v>489</v>
      </c>
      <c r="U27" t="s">
        <v>490</v>
      </c>
      <c r="V27">
        <v>10.28</v>
      </c>
      <c r="W27">
        <v>1</v>
      </c>
      <c r="X27">
        <v>22335.5</v>
      </c>
      <c r="Z27" t="s">
        <v>491</v>
      </c>
      <c r="AA27" t="s">
        <v>491</v>
      </c>
      <c r="AC27" t="s">
        <v>491</v>
      </c>
      <c r="AD27" t="s">
        <v>492</v>
      </c>
      <c r="AE27" t="s">
        <v>492</v>
      </c>
      <c r="AF27">
        <v>2</v>
      </c>
      <c r="AG27">
        <v>2</v>
      </c>
      <c r="AH27">
        <v>0</v>
      </c>
      <c r="AI27">
        <v>0</v>
      </c>
      <c r="AJ27">
        <v>0</v>
      </c>
      <c r="AK27">
        <v>0</v>
      </c>
      <c r="AL27">
        <v>0</v>
      </c>
      <c r="AM27">
        <v>2</v>
      </c>
      <c r="AN27" t="s">
        <v>493</v>
      </c>
      <c r="AO27" t="s">
        <v>494</v>
      </c>
      <c r="AP27">
        <v>17</v>
      </c>
      <c r="AQ27" t="s">
        <v>495</v>
      </c>
      <c r="AR27" t="s">
        <v>496</v>
      </c>
      <c r="AS27">
        <v>5</v>
      </c>
      <c r="AT27" t="s">
        <v>497</v>
      </c>
      <c r="AU27" t="s">
        <v>632</v>
      </c>
      <c r="AV27" t="s">
        <v>498</v>
      </c>
      <c r="AW27" t="s">
        <v>634</v>
      </c>
      <c r="AX27">
        <v>44.797049169999987</v>
      </c>
      <c r="AY27">
        <v>-68.761350610000008</v>
      </c>
      <c r="AZ27">
        <v>6</v>
      </c>
      <c r="BA27" t="s">
        <v>544</v>
      </c>
      <c r="BB27" t="s">
        <v>501</v>
      </c>
      <c r="BC27">
        <v>4041936</v>
      </c>
      <c r="BD27">
        <v>4</v>
      </c>
      <c r="BE27" t="s">
        <v>502</v>
      </c>
      <c r="BF27" t="s">
        <v>503</v>
      </c>
      <c r="BG27" t="s">
        <v>504</v>
      </c>
      <c r="BH27" t="s">
        <v>505</v>
      </c>
      <c r="BI27">
        <v>97506</v>
      </c>
      <c r="BJ27">
        <v>0</v>
      </c>
    </row>
    <row r="28" spans="1:62" x14ac:dyDescent="0.35">
      <c r="A28" t="s">
        <v>477</v>
      </c>
      <c r="B28" t="s">
        <v>635</v>
      </c>
      <c r="C28" s="292">
        <v>43901</v>
      </c>
      <c r="D28" t="s">
        <v>479</v>
      </c>
      <c r="E28" t="s">
        <v>574</v>
      </c>
      <c r="F28" t="s">
        <v>636</v>
      </c>
      <c r="G28">
        <v>2020</v>
      </c>
      <c r="H28" t="s">
        <v>396</v>
      </c>
      <c r="I28" t="s">
        <v>482</v>
      </c>
      <c r="J28" t="s">
        <v>510</v>
      </c>
      <c r="K28" t="s">
        <v>525</v>
      </c>
      <c r="L28" t="s">
        <v>485</v>
      </c>
      <c r="M28" t="s">
        <v>486</v>
      </c>
      <c r="N28" t="s">
        <v>487</v>
      </c>
      <c r="O28" t="s">
        <v>488</v>
      </c>
      <c r="Q28" t="s">
        <v>488</v>
      </c>
      <c r="S28">
        <v>39690</v>
      </c>
      <c r="T28" t="s">
        <v>489</v>
      </c>
      <c r="U28" t="s">
        <v>490</v>
      </c>
      <c r="V28">
        <v>10.28</v>
      </c>
      <c r="W28">
        <v>1</v>
      </c>
      <c r="X28">
        <v>22335.5</v>
      </c>
      <c r="Z28" t="s">
        <v>491</v>
      </c>
      <c r="AA28" t="s">
        <v>491</v>
      </c>
      <c r="AB28" t="s">
        <v>491</v>
      </c>
      <c r="AC28" t="s">
        <v>491</v>
      </c>
      <c r="AD28" t="s">
        <v>492</v>
      </c>
      <c r="AE28" t="s">
        <v>492</v>
      </c>
      <c r="AF28">
        <v>2</v>
      </c>
      <c r="AG28">
        <v>2</v>
      </c>
      <c r="AH28">
        <v>0</v>
      </c>
      <c r="AI28">
        <v>0</v>
      </c>
      <c r="AJ28">
        <v>0</v>
      </c>
      <c r="AK28">
        <v>0</v>
      </c>
      <c r="AL28">
        <v>0</v>
      </c>
      <c r="AM28">
        <v>2</v>
      </c>
      <c r="AN28" t="s">
        <v>493</v>
      </c>
      <c r="AO28" t="s">
        <v>494</v>
      </c>
      <c r="AP28">
        <v>10</v>
      </c>
      <c r="AQ28" t="s">
        <v>527</v>
      </c>
      <c r="AR28" t="s">
        <v>496</v>
      </c>
      <c r="AS28">
        <v>4</v>
      </c>
      <c r="AT28" t="s">
        <v>497</v>
      </c>
      <c r="AU28" t="s">
        <v>637</v>
      </c>
      <c r="AV28" t="s">
        <v>498</v>
      </c>
      <c r="AW28" t="s">
        <v>638</v>
      </c>
      <c r="AX28">
        <v>44.797342489999998</v>
      </c>
      <c r="AY28">
        <v>-68.761545810000001</v>
      </c>
      <c r="AZ28">
        <v>3</v>
      </c>
      <c r="BA28" t="s">
        <v>622</v>
      </c>
      <c r="BB28" t="s">
        <v>501</v>
      </c>
      <c r="BC28">
        <v>4041936</v>
      </c>
      <c r="BD28">
        <v>4</v>
      </c>
      <c r="BE28" t="s">
        <v>502</v>
      </c>
      <c r="BF28" t="s">
        <v>503</v>
      </c>
      <c r="BG28" t="s">
        <v>504</v>
      </c>
      <c r="BH28" t="s">
        <v>505</v>
      </c>
      <c r="BI28">
        <v>101156</v>
      </c>
      <c r="BJ28">
        <v>0</v>
      </c>
    </row>
    <row r="29" spans="1:62" x14ac:dyDescent="0.35">
      <c r="A29" t="s">
        <v>477</v>
      </c>
      <c r="B29" t="s">
        <v>639</v>
      </c>
      <c r="C29" s="292">
        <v>43901</v>
      </c>
      <c r="D29" t="s">
        <v>479</v>
      </c>
      <c r="E29" t="s">
        <v>574</v>
      </c>
      <c r="F29" t="s">
        <v>640</v>
      </c>
      <c r="G29">
        <v>2020</v>
      </c>
      <c r="H29" t="s">
        <v>396</v>
      </c>
      <c r="I29" t="s">
        <v>482</v>
      </c>
      <c r="J29" t="s">
        <v>510</v>
      </c>
      <c r="K29" t="s">
        <v>576</v>
      </c>
      <c r="L29" t="s">
        <v>485</v>
      </c>
      <c r="M29" t="s">
        <v>486</v>
      </c>
      <c r="O29" t="s">
        <v>511</v>
      </c>
      <c r="Q29" t="s">
        <v>488</v>
      </c>
      <c r="T29" t="s">
        <v>489</v>
      </c>
      <c r="U29" t="s">
        <v>490</v>
      </c>
      <c r="V29">
        <v>10.34</v>
      </c>
      <c r="W29">
        <v>2</v>
      </c>
      <c r="X29">
        <v>12872</v>
      </c>
      <c r="Y29">
        <v>25</v>
      </c>
      <c r="Z29" t="s">
        <v>491</v>
      </c>
      <c r="AA29" t="s">
        <v>491</v>
      </c>
      <c r="AB29" t="s">
        <v>491</v>
      </c>
      <c r="AC29" t="s">
        <v>491</v>
      </c>
      <c r="AD29" t="s">
        <v>492</v>
      </c>
      <c r="AE29" t="s">
        <v>492</v>
      </c>
      <c r="AF29">
        <v>2</v>
      </c>
      <c r="AG29">
        <v>2</v>
      </c>
      <c r="AH29">
        <v>0</v>
      </c>
      <c r="AI29">
        <v>0</v>
      </c>
      <c r="AJ29">
        <v>0</v>
      </c>
      <c r="AK29">
        <v>0</v>
      </c>
      <c r="AL29">
        <v>0</v>
      </c>
      <c r="AM29">
        <v>2</v>
      </c>
      <c r="AN29" t="s">
        <v>493</v>
      </c>
      <c r="AO29" t="s">
        <v>494</v>
      </c>
      <c r="AP29">
        <v>16</v>
      </c>
      <c r="AQ29" t="s">
        <v>396</v>
      </c>
      <c r="AR29" t="s">
        <v>558</v>
      </c>
      <c r="AS29">
        <v>4</v>
      </c>
      <c r="AT29" t="s">
        <v>497</v>
      </c>
      <c r="AU29" t="s">
        <v>641</v>
      </c>
      <c r="AV29" t="s">
        <v>498</v>
      </c>
      <c r="AW29" t="s">
        <v>642</v>
      </c>
      <c r="AX29">
        <v>44.79761087</v>
      </c>
      <c r="AY29">
        <v>-68.760307010000005</v>
      </c>
      <c r="AZ29">
        <v>3</v>
      </c>
      <c r="BA29" t="s">
        <v>622</v>
      </c>
      <c r="BB29" t="s">
        <v>501</v>
      </c>
      <c r="BC29">
        <v>4041934</v>
      </c>
      <c r="BD29">
        <v>4</v>
      </c>
      <c r="BE29" t="s">
        <v>502</v>
      </c>
      <c r="BF29" t="s">
        <v>503</v>
      </c>
      <c r="BG29" t="s">
        <v>504</v>
      </c>
      <c r="BH29" t="s">
        <v>560</v>
      </c>
      <c r="BI29">
        <v>103904</v>
      </c>
      <c r="BJ29">
        <v>0.01</v>
      </c>
    </row>
    <row r="30" spans="1:62" x14ac:dyDescent="0.35">
      <c r="A30" t="s">
        <v>477</v>
      </c>
      <c r="B30" t="s">
        <v>643</v>
      </c>
      <c r="C30" s="292">
        <v>43657</v>
      </c>
      <c r="D30" t="s">
        <v>479</v>
      </c>
      <c r="E30" t="s">
        <v>516</v>
      </c>
      <c r="F30" t="s">
        <v>644</v>
      </c>
      <c r="G30">
        <v>2019</v>
      </c>
      <c r="H30" t="s">
        <v>396</v>
      </c>
      <c r="I30" t="s">
        <v>482</v>
      </c>
      <c r="J30" t="s">
        <v>645</v>
      </c>
      <c r="K30" t="s">
        <v>576</v>
      </c>
      <c r="L30" t="s">
        <v>485</v>
      </c>
      <c r="M30" t="s">
        <v>486</v>
      </c>
      <c r="N30" t="s">
        <v>487</v>
      </c>
      <c r="O30" t="s">
        <v>488</v>
      </c>
      <c r="T30" t="s">
        <v>489</v>
      </c>
      <c r="U30" t="s">
        <v>490</v>
      </c>
      <c r="V30">
        <v>10.33</v>
      </c>
      <c r="W30">
        <v>2</v>
      </c>
      <c r="X30">
        <v>12872</v>
      </c>
      <c r="Y30">
        <v>25</v>
      </c>
      <c r="Z30" t="s">
        <v>491</v>
      </c>
      <c r="AA30" t="s">
        <v>491</v>
      </c>
      <c r="AB30" t="s">
        <v>491</v>
      </c>
      <c r="AC30" t="s">
        <v>646</v>
      </c>
      <c r="AD30" t="s">
        <v>492</v>
      </c>
      <c r="AE30" t="s">
        <v>492</v>
      </c>
      <c r="AF30">
        <v>1</v>
      </c>
      <c r="AG30">
        <v>1</v>
      </c>
      <c r="AH30">
        <v>0</v>
      </c>
      <c r="AI30">
        <v>0</v>
      </c>
      <c r="AJ30">
        <v>0</v>
      </c>
      <c r="AK30">
        <v>0</v>
      </c>
      <c r="AL30">
        <v>0</v>
      </c>
      <c r="AM30">
        <v>1</v>
      </c>
      <c r="AN30" t="s">
        <v>493</v>
      </c>
      <c r="AO30" t="s">
        <v>494</v>
      </c>
      <c r="AP30">
        <v>16</v>
      </c>
      <c r="AQ30" t="s">
        <v>495</v>
      </c>
      <c r="AR30" t="s">
        <v>558</v>
      </c>
      <c r="AS30">
        <v>5</v>
      </c>
      <c r="AT30" t="s">
        <v>497</v>
      </c>
      <c r="AU30" t="s">
        <v>643</v>
      </c>
      <c r="AV30" t="s">
        <v>498</v>
      </c>
      <c r="AW30" t="s">
        <v>647</v>
      </c>
      <c r="AX30">
        <v>44.797460000000001</v>
      </c>
      <c r="AY30">
        <v>-68.76057999999999</v>
      </c>
      <c r="AZ30">
        <v>7</v>
      </c>
      <c r="BA30" t="s">
        <v>500</v>
      </c>
      <c r="BB30" t="s">
        <v>501</v>
      </c>
      <c r="BC30">
        <v>4041934</v>
      </c>
      <c r="BD30">
        <v>4</v>
      </c>
      <c r="BE30" t="s">
        <v>502</v>
      </c>
      <c r="BF30" t="s">
        <v>503</v>
      </c>
      <c r="BG30" t="s">
        <v>504</v>
      </c>
      <c r="BH30" t="s">
        <v>560</v>
      </c>
      <c r="BI30">
        <v>107137</v>
      </c>
      <c r="BJ30">
        <v>0.02</v>
      </c>
    </row>
    <row r="31" spans="1:62" x14ac:dyDescent="0.35">
      <c r="A31" t="s">
        <v>477</v>
      </c>
      <c r="B31" t="s">
        <v>648</v>
      </c>
      <c r="C31" s="292">
        <v>43632</v>
      </c>
      <c r="D31" t="s">
        <v>479</v>
      </c>
      <c r="E31" t="s">
        <v>594</v>
      </c>
      <c r="F31" t="s">
        <v>649</v>
      </c>
      <c r="G31">
        <v>2019</v>
      </c>
      <c r="H31" t="s">
        <v>396</v>
      </c>
      <c r="I31" t="s">
        <v>482</v>
      </c>
      <c r="J31" t="s">
        <v>483</v>
      </c>
      <c r="K31" t="s">
        <v>484</v>
      </c>
      <c r="L31" t="s">
        <v>485</v>
      </c>
      <c r="M31" t="s">
        <v>563</v>
      </c>
      <c r="N31" t="s">
        <v>487</v>
      </c>
      <c r="O31" t="s">
        <v>518</v>
      </c>
      <c r="P31" t="s">
        <v>488</v>
      </c>
      <c r="Q31" t="s">
        <v>488</v>
      </c>
      <c r="S31">
        <v>39690</v>
      </c>
      <c r="T31" t="s">
        <v>489</v>
      </c>
      <c r="U31" t="s">
        <v>490</v>
      </c>
      <c r="V31">
        <v>10.28</v>
      </c>
      <c r="W31">
        <v>1</v>
      </c>
      <c r="X31">
        <v>22335.5</v>
      </c>
      <c r="Z31" t="s">
        <v>491</v>
      </c>
      <c r="AA31" t="s">
        <v>491</v>
      </c>
      <c r="AB31" t="s">
        <v>491</v>
      </c>
      <c r="AC31" t="s">
        <v>491</v>
      </c>
      <c r="AD31" t="s">
        <v>492</v>
      </c>
      <c r="AE31" t="s">
        <v>492</v>
      </c>
      <c r="AF31">
        <v>2</v>
      </c>
      <c r="AG31">
        <v>3</v>
      </c>
      <c r="AH31">
        <v>0</v>
      </c>
      <c r="AI31">
        <v>0</v>
      </c>
      <c r="AJ31">
        <v>0</v>
      </c>
      <c r="AK31">
        <v>0</v>
      </c>
      <c r="AL31">
        <v>0</v>
      </c>
      <c r="AM31">
        <v>3</v>
      </c>
      <c r="AN31" t="s">
        <v>493</v>
      </c>
      <c r="AO31" t="s">
        <v>494</v>
      </c>
      <c r="AP31">
        <v>11</v>
      </c>
      <c r="AQ31" t="s">
        <v>495</v>
      </c>
      <c r="AR31" t="s">
        <v>496</v>
      </c>
      <c r="AS31">
        <v>1</v>
      </c>
      <c r="AT31" t="s">
        <v>497</v>
      </c>
      <c r="AU31" t="s">
        <v>648</v>
      </c>
      <c r="AV31" t="s">
        <v>498</v>
      </c>
      <c r="AW31" t="s">
        <v>650</v>
      </c>
      <c r="AX31">
        <v>44.797049169999987</v>
      </c>
      <c r="AY31">
        <v>-68.761350610000008</v>
      </c>
      <c r="AZ31">
        <v>6</v>
      </c>
      <c r="BA31" t="s">
        <v>544</v>
      </c>
      <c r="BB31" t="s">
        <v>501</v>
      </c>
      <c r="BC31">
        <v>4041936</v>
      </c>
      <c r="BD31">
        <v>4</v>
      </c>
      <c r="BE31" t="s">
        <v>502</v>
      </c>
      <c r="BF31" t="s">
        <v>503</v>
      </c>
      <c r="BG31" t="s">
        <v>504</v>
      </c>
      <c r="BH31" t="s">
        <v>505</v>
      </c>
      <c r="BI31">
        <v>108168</v>
      </c>
      <c r="BJ31">
        <v>0</v>
      </c>
    </row>
    <row r="32" spans="1:62" x14ac:dyDescent="0.35">
      <c r="A32" t="s">
        <v>477</v>
      </c>
      <c r="B32" t="s">
        <v>651</v>
      </c>
      <c r="C32" s="292">
        <v>44174</v>
      </c>
      <c r="D32" t="s">
        <v>479</v>
      </c>
      <c r="E32" t="s">
        <v>574</v>
      </c>
      <c r="F32" t="s">
        <v>652</v>
      </c>
      <c r="G32">
        <v>2020</v>
      </c>
      <c r="H32" t="s">
        <v>396</v>
      </c>
      <c r="I32" t="s">
        <v>532</v>
      </c>
      <c r="J32" t="s">
        <v>483</v>
      </c>
      <c r="K32" t="s">
        <v>484</v>
      </c>
      <c r="L32" t="s">
        <v>485</v>
      </c>
      <c r="M32" t="s">
        <v>563</v>
      </c>
      <c r="N32" t="s">
        <v>487</v>
      </c>
      <c r="O32" t="s">
        <v>653</v>
      </c>
      <c r="P32" t="s">
        <v>630</v>
      </c>
      <c r="Q32" t="s">
        <v>488</v>
      </c>
      <c r="S32">
        <v>39690</v>
      </c>
      <c r="T32" t="s">
        <v>489</v>
      </c>
      <c r="U32" t="s">
        <v>490</v>
      </c>
      <c r="V32">
        <v>10.28</v>
      </c>
      <c r="W32">
        <v>1</v>
      </c>
      <c r="X32">
        <v>22335.5</v>
      </c>
      <c r="Z32" t="s">
        <v>491</v>
      </c>
      <c r="AA32" t="s">
        <v>491</v>
      </c>
      <c r="AB32" t="s">
        <v>491</v>
      </c>
      <c r="AC32" t="s">
        <v>491</v>
      </c>
      <c r="AD32" t="s">
        <v>492</v>
      </c>
      <c r="AE32" t="s">
        <v>492</v>
      </c>
      <c r="AF32">
        <v>2</v>
      </c>
      <c r="AG32">
        <v>3</v>
      </c>
      <c r="AH32">
        <v>0</v>
      </c>
      <c r="AI32">
        <v>0</v>
      </c>
      <c r="AJ32">
        <v>0</v>
      </c>
      <c r="AK32">
        <v>0</v>
      </c>
      <c r="AL32">
        <v>0</v>
      </c>
      <c r="AM32">
        <v>3</v>
      </c>
      <c r="AN32" t="s">
        <v>493</v>
      </c>
      <c r="AO32" t="s">
        <v>494</v>
      </c>
      <c r="AP32">
        <v>17</v>
      </c>
      <c r="AQ32" t="s">
        <v>495</v>
      </c>
      <c r="AR32" t="s">
        <v>496</v>
      </c>
      <c r="AS32">
        <v>4</v>
      </c>
      <c r="AT32" t="s">
        <v>497</v>
      </c>
      <c r="AU32" t="s">
        <v>651</v>
      </c>
      <c r="AV32" t="s">
        <v>498</v>
      </c>
      <c r="AW32" t="s">
        <v>654</v>
      </c>
      <c r="AX32">
        <v>44.797049169999987</v>
      </c>
      <c r="AY32">
        <v>-68.761350610000008</v>
      </c>
      <c r="AZ32">
        <v>12</v>
      </c>
      <c r="BA32" t="s">
        <v>534</v>
      </c>
      <c r="BB32" t="s">
        <v>501</v>
      </c>
      <c r="BC32">
        <v>4041936</v>
      </c>
      <c r="BD32">
        <v>4</v>
      </c>
      <c r="BE32" t="s">
        <v>502</v>
      </c>
      <c r="BF32" t="s">
        <v>503</v>
      </c>
      <c r="BG32" t="s">
        <v>504</v>
      </c>
      <c r="BH32" t="s">
        <v>505</v>
      </c>
      <c r="BI32">
        <v>108707</v>
      </c>
      <c r="BJ32">
        <v>0</v>
      </c>
    </row>
    <row r="33" spans="1:62" x14ac:dyDescent="0.35">
      <c r="A33" t="s">
        <v>477</v>
      </c>
      <c r="B33" t="s">
        <v>655</v>
      </c>
      <c r="C33" s="292">
        <v>46046</v>
      </c>
      <c r="D33" t="s">
        <v>479</v>
      </c>
      <c r="E33" t="s">
        <v>568</v>
      </c>
      <c r="F33" t="s">
        <v>656</v>
      </c>
      <c r="G33">
        <v>2026</v>
      </c>
      <c r="H33" t="s">
        <v>396</v>
      </c>
      <c r="I33" t="s">
        <v>482</v>
      </c>
      <c r="J33" t="s">
        <v>510</v>
      </c>
      <c r="K33" t="s">
        <v>556</v>
      </c>
      <c r="L33" t="s">
        <v>485</v>
      </c>
      <c r="M33" t="s">
        <v>486</v>
      </c>
      <c r="O33" t="s">
        <v>553</v>
      </c>
      <c r="Q33" t="s">
        <v>488</v>
      </c>
      <c r="T33" t="s">
        <v>489</v>
      </c>
      <c r="U33" t="s">
        <v>490</v>
      </c>
      <c r="V33">
        <v>10.33</v>
      </c>
      <c r="W33">
        <v>2</v>
      </c>
      <c r="X33">
        <v>12872</v>
      </c>
      <c r="Y33">
        <v>25</v>
      </c>
      <c r="Z33" t="s">
        <v>491</v>
      </c>
      <c r="AA33" t="s">
        <v>491</v>
      </c>
      <c r="AC33" t="s">
        <v>491</v>
      </c>
      <c r="AD33" t="s">
        <v>492</v>
      </c>
      <c r="AE33" t="s">
        <v>492</v>
      </c>
      <c r="AF33">
        <v>2</v>
      </c>
      <c r="AG33">
        <v>5</v>
      </c>
      <c r="AH33">
        <v>0</v>
      </c>
      <c r="AI33">
        <v>0</v>
      </c>
      <c r="AJ33">
        <v>0</v>
      </c>
      <c r="AK33">
        <v>0</v>
      </c>
      <c r="AL33">
        <v>0</v>
      </c>
      <c r="AM33">
        <v>5</v>
      </c>
      <c r="AN33" t="s">
        <v>493</v>
      </c>
      <c r="AO33" t="s">
        <v>494</v>
      </c>
      <c r="AP33">
        <v>14</v>
      </c>
      <c r="AQ33" t="s">
        <v>396</v>
      </c>
      <c r="AR33" t="s">
        <v>558</v>
      </c>
      <c r="AS33">
        <v>7</v>
      </c>
      <c r="AT33" t="s">
        <v>497</v>
      </c>
      <c r="AU33" t="s">
        <v>657</v>
      </c>
      <c r="AV33" t="s">
        <v>498</v>
      </c>
      <c r="AW33" t="s">
        <v>658</v>
      </c>
      <c r="AX33">
        <v>44.797504480000001</v>
      </c>
      <c r="AY33">
        <v>-68.760506079999999</v>
      </c>
      <c r="AZ33">
        <v>1</v>
      </c>
      <c r="BA33" t="s">
        <v>514</v>
      </c>
      <c r="BB33" t="s">
        <v>501</v>
      </c>
      <c r="BC33">
        <v>4041934</v>
      </c>
      <c r="BD33">
        <v>4</v>
      </c>
      <c r="BE33" t="s">
        <v>502</v>
      </c>
      <c r="BF33" t="s">
        <v>503</v>
      </c>
      <c r="BG33" t="s">
        <v>504</v>
      </c>
      <c r="BH33" t="s">
        <v>560</v>
      </c>
      <c r="BI33">
        <v>110962</v>
      </c>
      <c r="BJ33">
        <v>0.02</v>
      </c>
    </row>
    <row r="34" spans="1:62" x14ac:dyDescent="0.35">
      <c r="A34" t="s">
        <v>477</v>
      </c>
      <c r="B34" t="s">
        <v>659</v>
      </c>
      <c r="C34" s="292">
        <v>46003</v>
      </c>
      <c r="D34" t="s">
        <v>479</v>
      </c>
      <c r="E34" t="s">
        <v>507</v>
      </c>
      <c r="F34" t="s">
        <v>660</v>
      </c>
      <c r="G34">
        <v>2025</v>
      </c>
      <c r="H34" t="s">
        <v>396</v>
      </c>
      <c r="I34" t="s">
        <v>532</v>
      </c>
      <c r="J34" t="s">
        <v>483</v>
      </c>
      <c r="K34" t="s">
        <v>484</v>
      </c>
      <c r="L34" t="s">
        <v>661</v>
      </c>
      <c r="M34" t="s">
        <v>486</v>
      </c>
      <c r="N34" t="s">
        <v>487</v>
      </c>
      <c r="O34" t="s">
        <v>630</v>
      </c>
      <c r="Q34" t="s">
        <v>488</v>
      </c>
      <c r="S34">
        <v>39690</v>
      </c>
      <c r="T34" t="s">
        <v>489</v>
      </c>
      <c r="U34" t="s">
        <v>490</v>
      </c>
      <c r="V34">
        <v>10.28</v>
      </c>
      <c r="W34">
        <v>1</v>
      </c>
      <c r="X34">
        <v>22335.5</v>
      </c>
      <c r="Z34" t="s">
        <v>491</v>
      </c>
      <c r="AA34" t="s">
        <v>491</v>
      </c>
      <c r="AC34" t="s">
        <v>491</v>
      </c>
      <c r="AD34" t="s">
        <v>492</v>
      </c>
      <c r="AE34" t="s">
        <v>492</v>
      </c>
      <c r="AF34">
        <v>2</v>
      </c>
      <c r="AG34">
        <v>2</v>
      </c>
      <c r="AH34">
        <v>0</v>
      </c>
      <c r="AI34">
        <v>0</v>
      </c>
      <c r="AJ34">
        <v>0</v>
      </c>
      <c r="AK34">
        <v>0</v>
      </c>
      <c r="AL34">
        <v>0</v>
      </c>
      <c r="AM34">
        <v>2</v>
      </c>
      <c r="AN34" t="s">
        <v>493</v>
      </c>
      <c r="AO34" t="s">
        <v>494</v>
      </c>
      <c r="AP34">
        <v>19</v>
      </c>
      <c r="AQ34" t="s">
        <v>495</v>
      </c>
      <c r="AR34" t="s">
        <v>496</v>
      </c>
      <c r="AS34">
        <v>6</v>
      </c>
      <c r="AT34" t="s">
        <v>497</v>
      </c>
      <c r="AU34" t="s">
        <v>659</v>
      </c>
      <c r="AV34" t="s">
        <v>498</v>
      </c>
      <c r="AW34" t="s">
        <v>662</v>
      </c>
      <c r="AX34">
        <v>44.797049169999987</v>
      </c>
      <c r="AY34">
        <v>-68.761350610000008</v>
      </c>
      <c r="AZ34">
        <v>12</v>
      </c>
      <c r="BA34" t="s">
        <v>534</v>
      </c>
      <c r="BB34" t="s">
        <v>501</v>
      </c>
      <c r="BC34">
        <v>4041936</v>
      </c>
      <c r="BD34">
        <v>4</v>
      </c>
      <c r="BE34" t="s">
        <v>502</v>
      </c>
      <c r="BF34" t="s">
        <v>503</v>
      </c>
      <c r="BG34" t="s">
        <v>504</v>
      </c>
      <c r="BH34" t="s">
        <v>505</v>
      </c>
      <c r="BI34">
        <v>112905</v>
      </c>
      <c r="BJ34">
        <v>0</v>
      </c>
    </row>
    <row r="35" spans="1:62" x14ac:dyDescent="0.35">
      <c r="A35" t="s">
        <v>477</v>
      </c>
      <c r="B35" t="s">
        <v>663</v>
      </c>
      <c r="C35" s="292">
        <v>43698</v>
      </c>
      <c r="D35" t="s">
        <v>479</v>
      </c>
      <c r="E35" t="s">
        <v>574</v>
      </c>
      <c r="F35" t="s">
        <v>664</v>
      </c>
      <c r="G35">
        <v>2019</v>
      </c>
      <c r="H35" t="s">
        <v>396</v>
      </c>
      <c r="I35" t="s">
        <v>482</v>
      </c>
      <c r="J35" t="s">
        <v>510</v>
      </c>
      <c r="K35" t="s">
        <v>484</v>
      </c>
      <c r="L35" t="s">
        <v>526</v>
      </c>
      <c r="M35" t="s">
        <v>665</v>
      </c>
      <c r="N35" t="s">
        <v>487</v>
      </c>
      <c r="O35" t="s">
        <v>511</v>
      </c>
      <c r="Q35" t="s">
        <v>488</v>
      </c>
      <c r="S35">
        <v>39690</v>
      </c>
      <c r="T35" t="s">
        <v>489</v>
      </c>
      <c r="U35" t="s">
        <v>490</v>
      </c>
      <c r="V35">
        <v>10.28</v>
      </c>
      <c r="W35">
        <v>1</v>
      </c>
      <c r="X35">
        <v>22335.5</v>
      </c>
      <c r="Z35" t="s">
        <v>491</v>
      </c>
      <c r="AA35" t="s">
        <v>491</v>
      </c>
      <c r="AB35" t="s">
        <v>491</v>
      </c>
      <c r="AC35" t="s">
        <v>491</v>
      </c>
      <c r="AD35" t="s">
        <v>492</v>
      </c>
      <c r="AE35" t="s">
        <v>492</v>
      </c>
      <c r="AF35">
        <v>2</v>
      </c>
      <c r="AG35">
        <v>2</v>
      </c>
      <c r="AH35">
        <v>0</v>
      </c>
      <c r="AI35">
        <v>0</v>
      </c>
      <c r="AJ35">
        <v>0</v>
      </c>
      <c r="AK35">
        <v>0</v>
      </c>
      <c r="AL35">
        <v>0</v>
      </c>
      <c r="AM35">
        <v>2</v>
      </c>
      <c r="AN35" t="s">
        <v>493</v>
      </c>
      <c r="AO35" t="s">
        <v>494</v>
      </c>
      <c r="AP35">
        <v>17</v>
      </c>
      <c r="AQ35" t="s">
        <v>495</v>
      </c>
      <c r="AR35" t="s">
        <v>496</v>
      </c>
      <c r="AS35">
        <v>4</v>
      </c>
      <c r="AT35" t="s">
        <v>497</v>
      </c>
      <c r="AU35" t="s">
        <v>663</v>
      </c>
      <c r="AV35" t="s">
        <v>498</v>
      </c>
      <c r="AW35" t="s">
        <v>666</v>
      </c>
      <c r="AX35">
        <v>44.797049169999987</v>
      </c>
      <c r="AY35">
        <v>-68.761350610000008</v>
      </c>
      <c r="AZ35">
        <v>8</v>
      </c>
      <c r="BA35" t="s">
        <v>667</v>
      </c>
      <c r="BB35" t="s">
        <v>501</v>
      </c>
      <c r="BC35">
        <v>4041936</v>
      </c>
      <c r="BD35">
        <v>4</v>
      </c>
      <c r="BE35" t="s">
        <v>502</v>
      </c>
      <c r="BF35" t="s">
        <v>503</v>
      </c>
      <c r="BG35" t="s">
        <v>504</v>
      </c>
      <c r="BH35" t="s">
        <v>505</v>
      </c>
      <c r="BI35">
        <v>113465</v>
      </c>
      <c r="BJ35">
        <v>0</v>
      </c>
    </row>
    <row r="36" spans="1:62" x14ac:dyDescent="0.35">
      <c r="A36" t="s">
        <v>477</v>
      </c>
      <c r="B36" t="s">
        <v>668</v>
      </c>
      <c r="C36" s="292">
        <v>43145</v>
      </c>
      <c r="D36" t="s">
        <v>479</v>
      </c>
      <c r="E36" t="s">
        <v>574</v>
      </c>
      <c r="F36" t="s">
        <v>669</v>
      </c>
      <c r="G36">
        <v>2018</v>
      </c>
      <c r="H36" t="s">
        <v>396</v>
      </c>
      <c r="I36" t="s">
        <v>482</v>
      </c>
      <c r="J36" t="s">
        <v>510</v>
      </c>
      <c r="K36" t="s">
        <v>556</v>
      </c>
      <c r="L36" t="s">
        <v>526</v>
      </c>
      <c r="M36" t="s">
        <v>486</v>
      </c>
      <c r="O36" t="s">
        <v>511</v>
      </c>
      <c r="Q36" t="s">
        <v>488</v>
      </c>
      <c r="T36" t="s">
        <v>670</v>
      </c>
      <c r="U36" t="s">
        <v>671</v>
      </c>
      <c r="V36">
        <v>0.02</v>
      </c>
      <c r="W36">
        <v>1</v>
      </c>
      <c r="X36">
        <v>5125</v>
      </c>
      <c r="Y36">
        <v>30</v>
      </c>
      <c r="Z36" t="s">
        <v>491</v>
      </c>
      <c r="AA36" t="s">
        <v>491</v>
      </c>
      <c r="AB36" t="s">
        <v>491</v>
      </c>
      <c r="AC36" t="s">
        <v>491</v>
      </c>
      <c r="AD36" t="s">
        <v>492</v>
      </c>
      <c r="AE36" t="s">
        <v>492</v>
      </c>
      <c r="AF36">
        <v>2</v>
      </c>
      <c r="AG36">
        <v>2</v>
      </c>
      <c r="AH36">
        <v>0</v>
      </c>
      <c r="AI36">
        <v>0</v>
      </c>
      <c r="AJ36">
        <v>0</v>
      </c>
      <c r="AK36">
        <v>0</v>
      </c>
      <c r="AL36">
        <v>0</v>
      </c>
      <c r="AM36">
        <v>2</v>
      </c>
      <c r="AN36" t="s">
        <v>493</v>
      </c>
      <c r="AO36" t="s">
        <v>494</v>
      </c>
      <c r="AP36">
        <v>14</v>
      </c>
      <c r="AQ36" t="s">
        <v>396</v>
      </c>
      <c r="AR36" t="s">
        <v>672</v>
      </c>
      <c r="AS36">
        <v>4</v>
      </c>
      <c r="AT36" t="s">
        <v>497</v>
      </c>
      <c r="AU36" t="s">
        <v>673</v>
      </c>
      <c r="AV36" t="s">
        <v>498</v>
      </c>
      <c r="AW36" t="s">
        <v>674</v>
      </c>
      <c r="AX36">
        <v>44.796898259999999</v>
      </c>
      <c r="AY36">
        <v>-68.761310420000001</v>
      </c>
      <c r="AZ36">
        <v>2</v>
      </c>
      <c r="BA36" t="s">
        <v>675</v>
      </c>
      <c r="BB36" t="s">
        <v>501</v>
      </c>
      <c r="BC36">
        <v>4042173</v>
      </c>
      <c r="BD36">
        <v>4</v>
      </c>
      <c r="BE36" t="s">
        <v>502</v>
      </c>
      <c r="BF36" t="s">
        <v>503</v>
      </c>
      <c r="BG36" t="s">
        <v>504</v>
      </c>
      <c r="BH36" t="s">
        <v>560</v>
      </c>
      <c r="BI36">
        <v>114133</v>
      </c>
      <c r="BJ36">
        <v>0.02</v>
      </c>
    </row>
    <row r="37" spans="1:62" x14ac:dyDescent="0.35">
      <c r="A37" t="s">
        <v>477</v>
      </c>
      <c r="B37" t="s">
        <v>676</v>
      </c>
      <c r="C37" s="292">
        <v>44896</v>
      </c>
      <c r="D37" t="s">
        <v>479</v>
      </c>
      <c r="E37" t="s">
        <v>516</v>
      </c>
      <c r="F37" t="s">
        <v>677</v>
      </c>
      <c r="G37">
        <v>2022</v>
      </c>
      <c r="H37" t="s">
        <v>396</v>
      </c>
      <c r="I37" t="s">
        <v>482</v>
      </c>
      <c r="J37" t="s">
        <v>510</v>
      </c>
      <c r="K37" t="s">
        <v>576</v>
      </c>
      <c r="L37" t="s">
        <v>485</v>
      </c>
      <c r="M37" t="s">
        <v>486</v>
      </c>
      <c r="O37" t="s">
        <v>553</v>
      </c>
      <c r="Q37" t="s">
        <v>488</v>
      </c>
      <c r="T37" t="s">
        <v>489</v>
      </c>
      <c r="U37" t="s">
        <v>490</v>
      </c>
      <c r="V37">
        <v>10.34</v>
      </c>
      <c r="W37">
        <v>2</v>
      </c>
      <c r="X37">
        <v>12872</v>
      </c>
      <c r="Y37">
        <v>25</v>
      </c>
      <c r="Z37" t="s">
        <v>491</v>
      </c>
      <c r="AA37" t="s">
        <v>491</v>
      </c>
      <c r="AC37" t="s">
        <v>491</v>
      </c>
      <c r="AD37" t="s">
        <v>492</v>
      </c>
      <c r="AE37" t="s">
        <v>492</v>
      </c>
      <c r="AF37">
        <v>2</v>
      </c>
      <c r="AG37">
        <v>2</v>
      </c>
      <c r="AH37">
        <v>0</v>
      </c>
      <c r="AI37">
        <v>0</v>
      </c>
      <c r="AJ37">
        <v>0</v>
      </c>
      <c r="AK37">
        <v>0</v>
      </c>
      <c r="AL37">
        <v>0</v>
      </c>
      <c r="AM37">
        <v>2</v>
      </c>
      <c r="AN37" t="s">
        <v>493</v>
      </c>
      <c r="AO37" t="s">
        <v>494</v>
      </c>
      <c r="AP37">
        <v>14</v>
      </c>
      <c r="AQ37" t="s">
        <v>396</v>
      </c>
      <c r="AR37" t="s">
        <v>558</v>
      </c>
      <c r="AS37">
        <v>5</v>
      </c>
      <c r="AT37" t="s">
        <v>497</v>
      </c>
      <c r="AU37" t="s">
        <v>676</v>
      </c>
      <c r="AV37" t="s">
        <v>498</v>
      </c>
      <c r="AW37" t="s">
        <v>678</v>
      </c>
      <c r="AX37">
        <v>44.797610239999997</v>
      </c>
      <c r="AY37">
        <v>-68.760308190000003</v>
      </c>
      <c r="AZ37">
        <v>12</v>
      </c>
      <c r="BA37" t="s">
        <v>534</v>
      </c>
      <c r="BB37" t="s">
        <v>501</v>
      </c>
      <c r="BC37">
        <v>4041934</v>
      </c>
      <c r="BD37">
        <v>4</v>
      </c>
      <c r="BE37" t="s">
        <v>502</v>
      </c>
      <c r="BF37" t="s">
        <v>503</v>
      </c>
      <c r="BG37" t="s">
        <v>504</v>
      </c>
      <c r="BH37" t="s">
        <v>560</v>
      </c>
      <c r="BI37">
        <v>117703</v>
      </c>
      <c r="BJ37">
        <v>0.01</v>
      </c>
    </row>
    <row r="38" spans="1:62" x14ac:dyDescent="0.35">
      <c r="A38" t="s">
        <v>477</v>
      </c>
      <c r="B38" t="s">
        <v>679</v>
      </c>
      <c r="C38" s="292">
        <v>44939</v>
      </c>
      <c r="D38" t="s">
        <v>479</v>
      </c>
      <c r="E38" t="s">
        <v>549</v>
      </c>
      <c r="F38" t="s">
        <v>608</v>
      </c>
      <c r="G38">
        <v>2023</v>
      </c>
      <c r="H38" t="s">
        <v>396</v>
      </c>
      <c r="I38" t="s">
        <v>482</v>
      </c>
      <c r="J38" t="s">
        <v>510</v>
      </c>
      <c r="K38" t="s">
        <v>484</v>
      </c>
      <c r="L38" t="s">
        <v>526</v>
      </c>
      <c r="M38" t="s">
        <v>665</v>
      </c>
      <c r="N38" t="s">
        <v>487</v>
      </c>
      <c r="O38" t="s">
        <v>553</v>
      </c>
      <c r="P38" t="s">
        <v>680</v>
      </c>
      <c r="Q38" t="s">
        <v>488</v>
      </c>
      <c r="S38">
        <v>39690</v>
      </c>
      <c r="T38" t="s">
        <v>489</v>
      </c>
      <c r="U38" t="s">
        <v>490</v>
      </c>
      <c r="V38">
        <v>10.28</v>
      </c>
      <c r="W38">
        <v>1</v>
      </c>
      <c r="X38">
        <v>22335.5</v>
      </c>
      <c r="Z38" t="s">
        <v>491</v>
      </c>
      <c r="AA38" t="s">
        <v>491</v>
      </c>
      <c r="AC38" t="s">
        <v>491</v>
      </c>
      <c r="AD38" t="s">
        <v>492</v>
      </c>
      <c r="AE38" t="s">
        <v>492</v>
      </c>
      <c r="AF38">
        <v>2</v>
      </c>
      <c r="AG38">
        <v>2</v>
      </c>
      <c r="AH38">
        <v>0</v>
      </c>
      <c r="AI38">
        <v>0</v>
      </c>
      <c r="AJ38">
        <v>0</v>
      </c>
      <c r="AK38">
        <v>0</v>
      </c>
      <c r="AL38">
        <v>0</v>
      </c>
      <c r="AM38">
        <v>2</v>
      </c>
      <c r="AN38" t="s">
        <v>493</v>
      </c>
      <c r="AO38" t="s">
        <v>494</v>
      </c>
      <c r="AP38">
        <v>11</v>
      </c>
      <c r="AQ38" t="s">
        <v>495</v>
      </c>
      <c r="AR38" t="s">
        <v>496</v>
      </c>
      <c r="AS38">
        <v>6</v>
      </c>
      <c r="AT38" t="s">
        <v>497</v>
      </c>
      <c r="AU38" t="s">
        <v>681</v>
      </c>
      <c r="AV38" t="s">
        <v>498</v>
      </c>
      <c r="AW38" t="s">
        <v>682</v>
      </c>
      <c r="AX38">
        <v>44.797049169999987</v>
      </c>
      <c r="AY38">
        <v>-68.761350610000008</v>
      </c>
      <c r="AZ38">
        <v>1</v>
      </c>
      <c r="BA38" t="s">
        <v>514</v>
      </c>
      <c r="BB38" t="s">
        <v>501</v>
      </c>
      <c r="BC38">
        <v>4041936</v>
      </c>
      <c r="BD38">
        <v>4</v>
      </c>
      <c r="BE38" t="s">
        <v>502</v>
      </c>
      <c r="BF38" t="s">
        <v>503</v>
      </c>
      <c r="BG38" t="s">
        <v>504</v>
      </c>
      <c r="BH38" t="s">
        <v>505</v>
      </c>
      <c r="BI38">
        <v>121474</v>
      </c>
      <c r="BJ38">
        <v>0</v>
      </c>
    </row>
    <row r="39" spans="1:62" x14ac:dyDescent="0.35">
      <c r="A39" t="s">
        <v>477</v>
      </c>
      <c r="B39" t="s">
        <v>683</v>
      </c>
      <c r="C39" s="292">
        <v>45048</v>
      </c>
      <c r="D39" t="s">
        <v>479</v>
      </c>
      <c r="E39" t="s">
        <v>541</v>
      </c>
      <c r="F39" t="s">
        <v>684</v>
      </c>
      <c r="G39">
        <v>2023</v>
      </c>
      <c r="H39" t="s">
        <v>396</v>
      </c>
      <c r="I39" t="s">
        <v>482</v>
      </c>
      <c r="J39" t="s">
        <v>415</v>
      </c>
      <c r="K39" t="s">
        <v>484</v>
      </c>
      <c r="L39" t="s">
        <v>485</v>
      </c>
      <c r="M39" t="s">
        <v>563</v>
      </c>
      <c r="N39" t="s">
        <v>487</v>
      </c>
      <c r="S39">
        <v>39690</v>
      </c>
      <c r="T39" t="s">
        <v>489</v>
      </c>
      <c r="U39" t="s">
        <v>490</v>
      </c>
      <c r="V39">
        <v>10.28</v>
      </c>
      <c r="W39">
        <v>1</v>
      </c>
      <c r="X39">
        <v>22335.5</v>
      </c>
      <c r="Z39" t="s">
        <v>646</v>
      </c>
      <c r="AA39" t="s">
        <v>491</v>
      </c>
      <c r="AC39" t="s">
        <v>491</v>
      </c>
      <c r="AD39" t="s">
        <v>492</v>
      </c>
      <c r="AE39" t="s">
        <v>492</v>
      </c>
      <c r="AF39">
        <v>2</v>
      </c>
      <c r="AG39">
        <v>1</v>
      </c>
      <c r="AH39">
        <v>1</v>
      </c>
      <c r="AI39">
        <v>0</v>
      </c>
      <c r="AJ39">
        <v>0</v>
      </c>
      <c r="AK39">
        <v>1</v>
      </c>
      <c r="AL39">
        <v>0</v>
      </c>
      <c r="AM39">
        <v>0</v>
      </c>
      <c r="AN39" t="s">
        <v>685</v>
      </c>
      <c r="AO39" t="s">
        <v>494</v>
      </c>
      <c r="AP39">
        <v>18</v>
      </c>
      <c r="AQ39" t="s">
        <v>495</v>
      </c>
      <c r="AR39" t="s">
        <v>496</v>
      </c>
      <c r="AS39">
        <v>3</v>
      </c>
      <c r="AT39" t="s">
        <v>497</v>
      </c>
      <c r="AU39" t="s">
        <v>683</v>
      </c>
      <c r="AV39" t="s">
        <v>498</v>
      </c>
      <c r="AW39" t="s">
        <v>686</v>
      </c>
      <c r="AX39">
        <v>44.797049169999987</v>
      </c>
      <c r="AY39">
        <v>-68.761350610000008</v>
      </c>
      <c r="AZ39">
        <v>5</v>
      </c>
      <c r="BA39" t="s">
        <v>597</v>
      </c>
      <c r="BB39" t="s">
        <v>501</v>
      </c>
      <c r="BC39">
        <v>4041936</v>
      </c>
      <c r="BD39">
        <v>4</v>
      </c>
      <c r="BE39" t="s">
        <v>502</v>
      </c>
      <c r="BF39" t="s">
        <v>503</v>
      </c>
      <c r="BG39" t="s">
        <v>504</v>
      </c>
      <c r="BH39" t="s">
        <v>505</v>
      </c>
      <c r="BI39">
        <v>126489</v>
      </c>
      <c r="BJ39">
        <v>0</v>
      </c>
    </row>
    <row r="40" spans="1:62" x14ac:dyDescent="0.35">
      <c r="A40" t="s">
        <v>477</v>
      </c>
      <c r="B40" t="s">
        <v>687</v>
      </c>
      <c r="C40" s="292">
        <v>43757</v>
      </c>
      <c r="D40" t="s">
        <v>479</v>
      </c>
      <c r="E40" t="s">
        <v>552</v>
      </c>
      <c r="F40" t="s">
        <v>688</v>
      </c>
      <c r="G40">
        <v>2019</v>
      </c>
      <c r="H40" t="s">
        <v>396</v>
      </c>
      <c r="I40" t="s">
        <v>482</v>
      </c>
      <c r="J40" t="s">
        <v>483</v>
      </c>
      <c r="K40" t="s">
        <v>484</v>
      </c>
      <c r="L40" t="s">
        <v>485</v>
      </c>
      <c r="M40" t="s">
        <v>486</v>
      </c>
      <c r="N40" t="s">
        <v>487</v>
      </c>
      <c r="O40" t="s">
        <v>518</v>
      </c>
      <c r="Q40" t="s">
        <v>488</v>
      </c>
      <c r="S40">
        <v>39690</v>
      </c>
      <c r="T40" t="s">
        <v>489</v>
      </c>
      <c r="U40" t="s">
        <v>490</v>
      </c>
      <c r="V40">
        <v>10.28</v>
      </c>
      <c r="W40">
        <v>1</v>
      </c>
      <c r="X40">
        <v>22335.5</v>
      </c>
      <c r="Z40" t="s">
        <v>491</v>
      </c>
      <c r="AA40" t="s">
        <v>491</v>
      </c>
      <c r="AB40" t="s">
        <v>491</v>
      </c>
      <c r="AC40" t="s">
        <v>491</v>
      </c>
      <c r="AD40" t="s">
        <v>492</v>
      </c>
      <c r="AE40" t="s">
        <v>492</v>
      </c>
      <c r="AF40">
        <v>2</v>
      </c>
      <c r="AG40">
        <v>3</v>
      </c>
      <c r="AH40">
        <v>2</v>
      </c>
      <c r="AI40">
        <v>0</v>
      </c>
      <c r="AJ40">
        <v>0</v>
      </c>
      <c r="AK40">
        <v>0</v>
      </c>
      <c r="AL40">
        <v>2</v>
      </c>
      <c r="AM40">
        <v>1</v>
      </c>
      <c r="AN40" t="s">
        <v>519</v>
      </c>
      <c r="AO40" t="s">
        <v>494</v>
      </c>
      <c r="AP40">
        <v>13</v>
      </c>
      <c r="AQ40" t="s">
        <v>495</v>
      </c>
      <c r="AR40" t="s">
        <v>496</v>
      </c>
      <c r="AS40">
        <v>7</v>
      </c>
      <c r="AT40" t="s">
        <v>497</v>
      </c>
      <c r="AU40" t="s">
        <v>687</v>
      </c>
      <c r="AV40" t="s">
        <v>498</v>
      </c>
      <c r="AW40" t="s">
        <v>689</v>
      </c>
      <c r="AX40">
        <v>44.797049169999987</v>
      </c>
      <c r="AY40">
        <v>-68.761350610000008</v>
      </c>
      <c r="AZ40">
        <v>10</v>
      </c>
      <c r="BA40" t="s">
        <v>548</v>
      </c>
      <c r="BB40" t="s">
        <v>501</v>
      </c>
      <c r="BC40">
        <v>4041936</v>
      </c>
      <c r="BD40">
        <v>4</v>
      </c>
      <c r="BE40" t="s">
        <v>502</v>
      </c>
      <c r="BF40" t="s">
        <v>503</v>
      </c>
      <c r="BG40" t="s">
        <v>504</v>
      </c>
      <c r="BH40" t="s">
        <v>505</v>
      </c>
      <c r="BI40">
        <v>129038</v>
      </c>
      <c r="BJ40">
        <v>0</v>
      </c>
    </row>
    <row r="41" spans="1:62" x14ac:dyDescent="0.35">
      <c r="A41" t="s">
        <v>477</v>
      </c>
      <c r="B41" t="s">
        <v>690</v>
      </c>
      <c r="C41" s="292">
        <v>44090</v>
      </c>
      <c r="D41" t="s">
        <v>479</v>
      </c>
      <c r="E41" t="s">
        <v>574</v>
      </c>
      <c r="F41" t="s">
        <v>691</v>
      </c>
      <c r="G41">
        <v>2020</v>
      </c>
      <c r="H41" t="s">
        <v>396</v>
      </c>
      <c r="I41" t="s">
        <v>482</v>
      </c>
      <c r="J41" t="s">
        <v>483</v>
      </c>
      <c r="K41" t="s">
        <v>484</v>
      </c>
      <c r="L41" t="s">
        <v>485</v>
      </c>
      <c r="M41" t="s">
        <v>486</v>
      </c>
      <c r="N41" t="s">
        <v>487</v>
      </c>
      <c r="O41" t="s">
        <v>496</v>
      </c>
      <c r="Q41" t="s">
        <v>488</v>
      </c>
      <c r="S41">
        <v>39690</v>
      </c>
      <c r="T41" t="s">
        <v>489</v>
      </c>
      <c r="U41" t="s">
        <v>490</v>
      </c>
      <c r="V41">
        <v>10.28</v>
      </c>
      <c r="W41">
        <v>1</v>
      </c>
      <c r="X41">
        <v>22335.5</v>
      </c>
      <c r="Z41" t="s">
        <v>491</v>
      </c>
      <c r="AA41" t="s">
        <v>491</v>
      </c>
      <c r="AB41" t="s">
        <v>491</v>
      </c>
      <c r="AC41" t="s">
        <v>491</v>
      </c>
      <c r="AD41" t="s">
        <v>492</v>
      </c>
      <c r="AE41" t="s">
        <v>492</v>
      </c>
      <c r="AF41">
        <v>2</v>
      </c>
      <c r="AG41">
        <v>3</v>
      </c>
      <c r="AH41">
        <v>1</v>
      </c>
      <c r="AI41">
        <v>0</v>
      </c>
      <c r="AJ41">
        <v>0</v>
      </c>
      <c r="AK41">
        <v>0</v>
      </c>
      <c r="AL41">
        <v>1</v>
      </c>
      <c r="AM41">
        <v>2</v>
      </c>
      <c r="AN41" t="s">
        <v>519</v>
      </c>
      <c r="AO41" t="s">
        <v>494</v>
      </c>
      <c r="AP41">
        <v>10</v>
      </c>
      <c r="AQ41" t="s">
        <v>495</v>
      </c>
      <c r="AR41" t="s">
        <v>496</v>
      </c>
      <c r="AS41">
        <v>4</v>
      </c>
      <c r="AT41" t="s">
        <v>497</v>
      </c>
      <c r="AU41" t="s">
        <v>690</v>
      </c>
      <c r="AV41" t="s">
        <v>498</v>
      </c>
      <c r="AW41" t="s">
        <v>692</v>
      </c>
      <c r="AX41">
        <v>44.797049169999987</v>
      </c>
      <c r="AY41">
        <v>-68.761350610000008</v>
      </c>
      <c r="AZ41">
        <v>9</v>
      </c>
      <c r="BA41" t="s">
        <v>601</v>
      </c>
      <c r="BB41" t="s">
        <v>501</v>
      </c>
      <c r="BC41">
        <v>4041936</v>
      </c>
      <c r="BD41">
        <v>4</v>
      </c>
      <c r="BE41" t="s">
        <v>502</v>
      </c>
      <c r="BF41" t="s">
        <v>503</v>
      </c>
      <c r="BG41" t="s">
        <v>504</v>
      </c>
      <c r="BH41" t="s">
        <v>505</v>
      </c>
      <c r="BI41">
        <v>130560</v>
      </c>
      <c r="BJ41">
        <v>0</v>
      </c>
    </row>
    <row r="42" spans="1:62" x14ac:dyDescent="0.35">
      <c r="A42" t="s">
        <v>477</v>
      </c>
      <c r="B42" t="s">
        <v>693</v>
      </c>
      <c r="C42" s="292">
        <v>44112</v>
      </c>
      <c r="D42" t="s">
        <v>479</v>
      </c>
      <c r="E42" t="s">
        <v>516</v>
      </c>
      <c r="F42" t="s">
        <v>694</v>
      </c>
      <c r="G42">
        <v>2020</v>
      </c>
      <c r="H42" t="s">
        <v>396</v>
      </c>
      <c r="I42" t="s">
        <v>482</v>
      </c>
      <c r="J42" t="s">
        <v>510</v>
      </c>
      <c r="K42" t="s">
        <v>484</v>
      </c>
      <c r="L42" t="s">
        <v>485</v>
      </c>
      <c r="M42" t="s">
        <v>486</v>
      </c>
      <c r="N42" t="s">
        <v>487</v>
      </c>
      <c r="O42" t="s">
        <v>564</v>
      </c>
      <c r="Q42" t="s">
        <v>488</v>
      </c>
      <c r="S42">
        <v>39690</v>
      </c>
      <c r="T42" t="s">
        <v>489</v>
      </c>
      <c r="U42" t="s">
        <v>490</v>
      </c>
      <c r="V42">
        <v>10.28</v>
      </c>
      <c r="W42">
        <v>1</v>
      </c>
      <c r="X42">
        <v>22335.5</v>
      </c>
      <c r="Z42" t="s">
        <v>491</v>
      </c>
      <c r="AA42" t="s">
        <v>491</v>
      </c>
      <c r="AB42" t="s">
        <v>491</v>
      </c>
      <c r="AC42" t="s">
        <v>491</v>
      </c>
      <c r="AD42" t="s">
        <v>492</v>
      </c>
      <c r="AE42" t="s">
        <v>492</v>
      </c>
      <c r="AF42">
        <v>2</v>
      </c>
      <c r="AG42">
        <v>2</v>
      </c>
      <c r="AH42">
        <v>0</v>
      </c>
      <c r="AI42">
        <v>0</v>
      </c>
      <c r="AJ42">
        <v>0</v>
      </c>
      <c r="AK42">
        <v>0</v>
      </c>
      <c r="AL42">
        <v>0</v>
      </c>
      <c r="AM42">
        <v>2</v>
      </c>
      <c r="AN42" t="s">
        <v>493</v>
      </c>
      <c r="AO42" t="s">
        <v>494</v>
      </c>
      <c r="AP42">
        <v>10</v>
      </c>
      <c r="AQ42" t="s">
        <v>495</v>
      </c>
      <c r="AR42" t="s">
        <v>496</v>
      </c>
      <c r="AS42">
        <v>5</v>
      </c>
      <c r="AT42" t="s">
        <v>497</v>
      </c>
      <c r="AU42" t="s">
        <v>693</v>
      </c>
      <c r="AV42" t="s">
        <v>498</v>
      </c>
      <c r="AW42" t="s">
        <v>695</v>
      </c>
      <c r="AX42">
        <v>44.797049169999987</v>
      </c>
      <c r="AY42">
        <v>-68.761350610000008</v>
      </c>
      <c r="AZ42">
        <v>10</v>
      </c>
      <c r="BA42" t="s">
        <v>548</v>
      </c>
      <c r="BB42" t="s">
        <v>501</v>
      </c>
      <c r="BC42">
        <v>4041936</v>
      </c>
      <c r="BD42">
        <v>4</v>
      </c>
      <c r="BE42" t="s">
        <v>502</v>
      </c>
      <c r="BF42" t="s">
        <v>503</v>
      </c>
      <c r="BG42" t="s">
        <v>504</v>
      </c>
      <c r="BH42" t="s">
        <v>505</v>
      </c>
      <c r="BI42">
        <v>135175</v>
      </c>
      <c r="BJ42">
        <v>0</v>
      </c>
    </row>
    <row r="43" spans="1:62" x14ac:dyDescent="0.35">
      <c r="A43" t="s">
        <v>477</v>
      </c>
      <c r="B43" t="s">
        <v>696</v>
      </c>
      <c r="C43" s="292">
        <v>43478</v>
      </c>
      <c r="D43" t="s">
        <v>479</v>
      </c>
      <c r="E43" t="s">
        <v>594</v>
      </c>
      <c r="F43" t="s">
        <v>697</v>
      </c>
      <c r="G43">
        <v>2019</v>
      </c>
      <c r="H43" t="s">
        <v>396</v>
      </c>
      <c r="I43" t="s">
        <v>482</v>
      </c>
      <c r="J43" t="s">
        <v>510</v>
      </c>
      <c r="K43" t="s">
        <v>484</v>
      </c>
      <c r="L43" t="s">
        <v>485</v>
      </c>
      <c r="M43" t="s">
        <v>486</v>
      </c>
      <c r="N43" t="s">
        <v>487</v>
      </c>
      <c r="O43" t="s">
        <v>488</v>
      </c>
      <c r="Q43" t="s">
        <v>609</v>
      </c>
      <c r="S43">
        <v>39690</v>
      </c>
      <c r="T43" t="s">
        <v>489</v>
      </c>
      <c r="U43" t="s">
        <v>490</v>
      </c>
      <c r="V43">
        <v>10.28</v>
      </c>
      <c r="W43">
        <v>1</v>
      </c>
      <c r="X43">
        <v>22335.5</v>
      </c>
      <c r="Z43" t="s">
        <v>491</v>
      </c>
      <c r="AA43" t="s">
        <v>491</v>
      </c>
      <c r="AB43" t="s">
        <v>491</v>
      </c>
      <c r="AC43" t="s">
        <v>491</v>
      </c>
      <c r="AD43" t="s">
        <v>492</v>
      </c>
      <c r="AE43" t="s">
        <v>492</v>
      </c>
      <c r="AF43">
        <v>2</v>
      </c>
      <c r="AG43">
        <v>3</v>
      </c>
      <c r="AH43">
        <v>0</v>
      </c>
      <c r="AI43">
        <v>0</v>
      </c>
      <c r="AJ43">
        <v>0</v>
      </c>
      <c r="AK43">
        <v>0</v>
      </c>
      <c r="AL43">
        <v>0</v>
      </c>
      <c r="AM43">
        <v>3</v>
      </c>
      <c r="AN43" t="s">
        <v>493</v>
      </c>
      <c r="AO43" t="s">
        <v>494</v>
      </c>
      <c r="AP43">
        <v>11</v>
      </c>
      <c r="AQ43" t="s">
        <v>495</v>
      </c>
      <c r="AR43" t="s">
        <v>496</v>
      </c>
      <c r="AS43">
        <v>1</v>
      </c>
      <c r="AT43" t="s">
        <v>497</v>
      </c>
      <c r="AU43" t="s">
        <v>698</v>
      </c>
      <c r="AV43" t="s">
        <v>498</v>
      </c>
      <c r="AW43" t="s">
        <v>699</v>
      </c>
      <c r="AX43">
        <v>44.797049169999987</v>
      </c>
      <c r="AY43">
        <v>-68.761350610000008</v>
      </c>
      <c r="AZ43">
        <v>1</v>
      </c>
      <c r="BA43" t="s">
        <v>514</v>
      </c>
      <c r="BB43" t="s">
        <v>501</v>
      </c>
      <c r="BC43">
        <v>4041936</v>
      </c>
      <c r="BD43">
        <v>4</v>
      </c>
      <c r="BE43" t="s">
        <v>502</v>
      </c>
      <c r="BF43" t="s">
        <v>503</v>
      </c>
      <c r="BG43" t="s">
        <v>504</v>
      </c>
      <c r="BH43" t="s">
        <v>505</v>
      </c>
      <c r="BI43">
        <v>138295</v>
      </c>
      <c r="BJ43">
        <v>0</v>
      </c>
    </row>
    <row r="44" spans="1:62" x14ac:dyDescent="0.35">
      <c r="A44" t="s">
        <v>477</v>
      </c>
      <c r="B44" t="s">
        <v>700</v>
      </c>
      <c r="C44" s="292">
        <v>44764</v>
      </c>
      <c r="D44" t="s">
        <v>479</v>
      </c>
      <c r="E44" t="s">
        <v>549</v>
      </c>
      <c r="F44" t="s">
        <v>701</v>
      </c>
      <c r="G44">
        <v>2022</v>
      </c>
      <c r="H44" t="s">
        <v>396</v>
      </c>
      <c r="I44" t="s">
        <v>482</v>
      </c>
      <c r="J44" t="s">
        <v>510</v>
      </c>
      <c r="K44" t="s">
        <v>484</v>
      </c>
      <c r="L44" t="s">
        <v>485</v>
      </c>
      <c r="M44" t="s">
        <v>486</v>
      </c>
      <c r="N44" t="s">
        <v>487</v>
      </c>
      <c r="O44" t="s">
        <v>511</v>
      </c>
      <c r="Q44" t="s">
        <v>488</v>
      </c>
      <c r="S44">
        <v>39690</v>
      </c>
      <c r="T44" t="s">
        <v>489</v>
      </c>
      <c r="U44" t="s">
        <v>490</v>
      </c>
      <c r="V44">
        <v>10.28</v>
      </c>
      <c r="W44">
        <v>1</v>
      </c>
      <c r="X44">
        <v>22335.5</v>
      </c>
      <c r="Z44" t="s">
        <v>491</v>
      </c>
      <c r="AA44" t="s">
        <v>491</v>
      </c>
      <c r="AB44" t="s">
        <v>491</v>
      </c>
      <c r="AC44" t="s">
        <v>491</v>
      </c>
      <c r="AD44" t="s">
        <v>492</v>
      </c>
      <c r="AE44" t="s">
        <v>492</v>
      </c>
      <c r="AF44">
        <v>2</v>
      </c>
      <c r="AG44">
        <v>2</v>
      </c>
      <c r="AH44">
        <v>0</v>
      </c>
      <c r="AI44">
        <v>0</v>
      </c>
      <c r="AJ44">
        <v>0</v>
      </c>
      <c r="AK44">
        <v>0</v>
      </c>
      <c r="AL44">
        <v>0</v>
      </c>
      <c r="AM44">
        <v>2</v>
      </c>
      <c r="AN44" t="s">
        <v>493</v>
      </c>
      <c r="AO44" t="s">
        <v>494</v>
      </c>
      <c r="AP44">
        <v>17</v>
      </c>
      <c r="AQ44" t="s">
        <v>495</v>
      </c>
      <c r="AR44" t="s">
        <v>496</v>
      </c>
      <c r="AS44">
        <v>6</v>
      </c>
      <c r="AT44" t="s">
        <v>497</v>
      </c>
      <c r="AU44" t="s">
        <v>700</v>
      </c>
      <c r="AV44" t="s">
        <v>498</v>
      </c>
      <c r="AW44" t="s">
        <v>702</v>
      </c>
      <c r="AX44">
        <v>44.797049169999987</v>
      </c>
      <c r="AY44">
        <v>-68.761350610000008</v>
      </c>
      <c r="AZ44">
        <v>7</v>
      </c>
      <c r="BA44" t="s">
        <v>500</v>
      </c>
      <c r="BB44" t="s">
        <v>501</v>
      </c>
      <c r="BC44">
        <v>4041936</v>
      </c>
      <c r="BD44">
        <v>4</v>
      </c>
      <c r="BE44" t="s">
        <v>502</v>
      </c>
      <c r="BF44" t="s">
        <v>503</v>
      </c>
      <c r="BG44" t="s">
        <v>504</v>
      </c>
      <c r="BH44" t="s">
        <v>505</v>
      </c>
      <c r="BI44">
        <v>139795</v>
      </c>
      <c r="BJ44">
        <v>0</v>
      </c>
    </row>
    <row r="45" spans="1:62" x14ac:dyDescent="0.35">
      <c r="A45" t="s">
        <v>477</v>
      </c>
      <c r="B45" t="s">
        <v>703</v>
      </c>
      <c r="C45" s="292">
        <v>45518</v>
      </c>
      <c r="D45" t="s">
        <v>479</v>
      </c>
      <c r="E45" t="s">
        <v>574</v>
      </c>
      <c r="F45" t="s">
        <v>704</v>
      </c>
      <c r="G45">
        <v>2024</v>
      </c>
      <c r="H45" t="s">
        <v>396</v>
      </c>
      <c r="I45" t="s">
        <v>482</v>
      </c>
      <c r="J45" t="s">
        <v>510</v>
      </c>
      <c r="K45" t="s">
        <v>484</v>
      </c>
      <c r="L45" t="s">
        <v>485</v>
      </c>
      <c r="M45" t="s">
        <v>486</v>
      </c>
      <c r="N45" t="s">
        <v>487</v>
      </c>
      <c r="O45" t="s">
        <v>511</v>
      </c>
      <c r="Q45" t="s">
        <v>488</v>
      </c>
      <c r="S45">
        <v>39690</v>
      </c>
      <c r="T45" t="s">
        <v>489</v>
      </c>
      <c r="U45" t="s">
        <v>490</v>
      </c>
      <c r="V45">
        <v>10.28</v>
      </c>
      <c r="W45">
        <v>1</v>
      </c>
      <c r="X45">
        <v>22335.5</v>
      </c>
      <c r="Z45" t="s">
        <v>491</v>
      </c>
      <c r="AA45" t="s">
        <v>491</v>
      </c>
      <c r="AC45" t="s">
        <v>491</v>
      </c>
      <c r="AD45" t="s">
        <v>492</v>
      </c>
      <c r="AE45" t="s">
        <v>492</v>
      </c>
      <c r="AF45">
        <v>2</v>
      </c>
      <c r="AG45">
        <v>3</v>
      </c>
      <c r="AH45">
        <v>1</v>
      </c>
      <c r="AI45">
        <v>0</v>
      </c>
      <c r="AJ45">
        <v>0</v>
      </c>
      <c r="AK45">
        <v>0</v>
      </c>
      <c r="AL45">
        <v>1</v>
      </c>
      <c r="AM45">
        <v>2</v>
      </c>
      <c r="AN45" t="s">
        <v>519</v>
      </c>
      <c r="AO45" t="s">
        <v>494</v>
      </c>
      <c r="AP45">
        <v>9</v>
      </c>
      <c r="AQ45" t="s">
        <v>495</v>
      </c>
      <c r="AR45" t="s">
        <v>496</v>
      </c>
      <c r="AS45">
        <v>4</v>
      </c>
      <c r="AT45" t="s">
        <v>497</v>
      </c>
      <c r="AU45" t="s">
        <v>703</v>
      </c>
      <c r="AV45" t="s">
        <v>498</v>
      </c>
      <c r="AW45" t="s">
        <v>705</v>
      </c>
      <c r="AX45">
        <v>44.797049169999987</v>
      </c>
      <c r="AY45">
        <v>-68.761350610000008</v>
      </c>
      <c r="AZ45">
        <v>8</v>
      </c>
      <c r="BA45" t="s">
        <v>667</v>
      </c>
      <c r="BB45" t="s">
        <v>501</v>
      </c>
      <c r="BC45">
        <v>4041936</v>
      </c>
      <c r="BD45">
        <v>4</v>
      </c>
      <c r="BE45" t="s">
        <v>502</v>
      </c>
      <c r="BF45" t="s">
        <v>503</v>
      </c>
      <c r="BG45" t="s">
        <v>504</v>
      </c>
      <c r="BH45" t="s">
        <v>505</v>
      </c>
      <c r="BI45">
        <v>140330</v>
      </c>
      <c r="BJ45">
        <v>0</v>
      </c>
    </row>
    <row r="46" spans="1:62" x14ac:dyDescent="0.35">
      <c r="A46" t="s">
        <v>477</v>
      </c>
      <c r="B46" t="s">
        <v>706</v>
      </c>
      <c r="C46" s="292">
        <v>43883</v>
      </c>
      <c r="D46" t="s">
        <v>479</v>
      </c>
      <c r="E46" t="s">
        <v>552</v>
      </c>
      <c r="F46" t="s">
        <v>707</v>
      </c>
      <c r="G46">
        <v>2020</v>
      </c>
      <c r="H46" t="s">
        <v>396</v>
      </c>
      <c r="I46" t="s">
        <v>482</v>
      </c>
      <c r="J46" t="s">
        <v>510</v>
      </c>
      <c r="K46" t="s">
        <v>484</v>
      </c>
      <c r="L46" t="s">
        <v>485</v>
      </c>
      <c r="M46" t="s">
        <v>486</v>
      </c>
      <c r="O46" t="s">
        <v>630</v>
      </c>
      <c r="P46" t="s">
        <v>553</v>
      </c>
      <c r="Q46" t="s">
        <v>488</v>
      </c>
      <c r="S46">
        <v>39112</v>
      </c>
      <c r="T46" t="s">
        <v>489</v>
      </c>
      <c r="U46" t="s">
        <v>490</v>
      </c>
      <c r="V46">
        <v>10.35</v>
      </c>
      <c r="W46">
        <v>2</v>
      </c>
      <c r="X46">
        <v>12554</v>
      </c>
      <c r="Z46" t="s">
        <v>491</v>
      </c>
      <c r="AA46" t="s">
        <v>491</v>
      </c>
      <c r="AB46" t="s">
        <v>491</v>
      </c>
      <c r="AC46" t="s">
        <v>491</v>
      </c>
      <c r="AD46" t="s">
        <v>492</v>
      </c>
      <c r="AE46" t="s">
        <v>492</v>
      </c>
      <c r="AF46">
        <v>2</v>
      </c>
      <c r="AG46">
        <v>2</v>
      </c>
      <c r="AH46">
        <v>0</v>
      </c>
      <c r="AI46">
        <v>0</v>
      </c>
      <c r="AJ46">
        <v>0</v>
      </c>
      <c r="AK46">
        <v>0</v>
      </c>
      <c r="AL46">
        <v>0</v>
      </c>
      <c r="AM46">
        <v>2</v>
      </c>
      <c r="AN46" t="s">
        <v>493</v>
      </c>
      <c r="AO46" t="s">
        <v>494</v>
      </c>
      <c r="AP46">
        <v>10</v>
      </c>
      <c r="AQ46" t="s">
        <v>396</v>
      </c>
      <c r="AR46" t="s">
        <v>496</v>
      </c>
      <c r="AS46">
        <v>7</v>
      </c>
      <c r="AT46" t="s">
        <v>497</v>
      </c>
      <c r="AU46" t="s">
        <v>708</v>
      </c>
      <c r="AV46" t="s">
        <v>498</v>
      </c>
      <c r="AW46" t="s">
        <v>709</v>
      </c>
      <c r="AX46">
        <v>44.797687420000003</v>
      </c>
      <c r="AY46">
        <v>-68.760163789999993</v>
      </c>
      <c r="AZ46">
        <v>2</v>
      </c>
      <c r="BA46" t="s">
        <v>675</v>
      </c>
      <c r="BB46" t="s">
        <v>501</v>
      </c>
      <c r="BC46">
        <v>3132103</v>
      </c>
      <c r="BD46">
        <v>4</v>
      </c>
      <c r="BE46" t="s">
        <v>502</v>
      </c>
      <c r="BF46" t="s">
        <v>503</v>
      </c>
      <c r="BG46" t="s">
        <v>504</v>
      </c>
      <c r="BH46" t="s">
        <v>505</v>
      </c>
      <c r="BI46">
        <v>145308</v>
      </c>
      <c r="BJ46">
        <v>0</v>
      </c>
    </row>
    <row r="47" spans="1:62" x14ac:dyDescent="0.35">
      <c r="A47" t="s">
        <v>477</v>
      </c>
      <c r="B47" t="s">
        <v>710</v>
      </c>
      <c r="C47" s="292">
        <v>45043</v>
      </c>
      <c r="D47" t="s">
        <v>479</v>
      </c>
      <c r="E47" t="s">
        <v>516</v>
      </c>
      <c r="F47" t="s">
        <v>711</v>
      </c>
      <c r="G47">
        <v>2023</v>
      </c>
      <c r="H47" t="s">
        <v>396</v>
      </c>
      <c r="I47" t="s">
        <v>482</v>
      </c>
      <c r="J47" t="s">
        <v>483</v>
      </c>
      <c r="K47" t="s">
        <v>484</v>
      </c>
      <c r="L47" t="s">
        <v>485</v>
      </c>
      <c r="M47" t="s">
        <v>563</v>
      </c>
      <c r="N47" t="s">
        <v>487</v>
      </c>
      <c r="O47" t="s">
        <v>518</v>
      </c>
      <c r="Q47" t="s">
        <v>488</v>
      </c>
      <c r="S47">
        <v>39690</v>
      </c>
      <c r="T47" t="s">
        <v>489</v>
      </c>
      <c r="U47" t="s">
        <v>490</v>
      </c>
      <c r="V47">
        <v>10.28</v>
      </c>
      <c r="W47">
        <v>1</v>
      </c>
      <c r="X47">
        <v>22335.5</v>
      </c>
      <c r="Z47" t="s">
        <v>491</v>
      </c>
      <c r="AA47" t="s">
        <v>491</v>
      </c>
      <c r="AC47" t="s">
        <v>491</v>
      </c>
      <c r="AD47" t="s">
        <v>492</v>
      </c>
      <c r="AE47" t="s">
        <v>492</v>
      </c>
      <c r="AF47">
        <v>2</v>
      </c>
      <c r="AG47">
        <v>2</v>
      </c>
      <c r="AH47">
        <v>0</v>
      </c>
      <c r="AI47">
        <v>0</v>
      </c>
      <c r="AJ47">
        <v>0</v>
      </c>
      <c r="AK47">
        <v>0</v>
      </c>
      <c r="AL47">
        <v>0</v>
      </c>
      <c r="AM47">
        <v>2</v>
      </c>
      <c r="AN47" t="s">
        <v>493</v>
      </c>
      <c r="AO47" t="s">
        <v>494</v>
      </c>
      <c r="AP47">
        <v>14</v>
      </c>
      <c r="AQ47" t="s">
        <v>495</v>
      </c>
      <c r="AR47" t="s">
        <v>496</v>
      </c>
      <c r="AS47">
        <v>5</v>
      </c>
      <c r="AT47" t="s">
        <v>497</v>
      </c>
      <c r="AU47" t="s">
        <v>710</v>
      </c>
      <c r="AV47" t="s">
        <v>498</v>
      </c>
      <c r="AW47" t="s">
        <v>712</v>
      </c>
      <c r="AX47">
        <v>44.797049169999987</v>
      </c>
      <c r="AY47">
        <v>-68.761350610000008</v>
      </c>
      <c r="AZ47">
        <v>4</v>
      </c>
      <c r="BA47" t="s">
        <v>606</v>
      </c>
      <c r="BB47" t="s">
        <v>501</v>
      </c>
      <c r="BC47">
        <v>4041936</v>
      </c>
      <c r="BD47">
        <v>4</v>
      </c>
      <c r="BE47" t="s">
        <v>502</v>
      </c>
      <c r="BF47" t="s">
        <v>503</v>
      </c>
      <c r="BG47" t="s">
        <v>504</v>
      </c>
      <c r="BH47" t="s">
        <v>505</v>
      </c>
      <c r="BI47">
        <v>145980</v>
      </c>
      <c r="BJ47">
        <v>0</v>
      </c>
    </row>
    <row r="48" spans="1:62" x14ac:dyDescent="0.35">
      <c r="A48" t="s">
        <v>477</v>
      </c>
      <c r="B48" t="s">
        <v>714</v>
      </c>
      <c r="C48" s="292">
        <v>45907</v>
      </c>
      <c r="D48" t="s">
        <v>479</v>
      </c>
      <c r="E48" t="s">
        <v>715</v>
      </c>
      <c r="F48" t="s">
        <v>716</v>
      </c>
      <c r="G48">
        <v>2025</v>
      </c>
      <c r="H48" t="s">
        <v>396</v>
      </c>
      <c r="I48" t="s">
        <v>482</v>
      </c>
      <c r="J48" t="s">
        <v>510</v>
      </c>
      <c r="K48" t="s">
        <v>484</v>
      </c>
      <c r="L48" t="s">
        <v>485</v>
      </c>
      <c r="M48" t="s">
        <v>486</v>
      </c>
      <c r="N48" t="s">
        <v>487</v>
      </c>
      <c r="O48" t="s">
        <v>511</v>
      </c>
      <c r="Q48" t="s">
        <v>488</v>
      </c>
      <c r="S48">
        <v>39690</v>
      </c>
      <c r="T48" t="s">
        <v>489</v>
      </c>
      <c r="U48" t="s">
        <v>490</v>
      </c>
      <c r="V48">
        <v>10.28</v>
      </c>
      <c r="W48">
        <v>1</v>
      </c>
      <c r="X48">
        <v>22335.5</v>
      </c>
      <c r="Z48" t="s">
        <v>491</v>
      </c>
      <c r="AA48" t="s">
        <v>491</v>
      </c>
      <c r="AC48" t="s">
        <v>491</v>
      </c>
      <c r="AD48" t="s">
        <v>492</v>
      </c>
      <c r="AE48" t="s">
        <v>492</v>
      </c>
      <c r="AF48">
        <v>2</v>
      </c>
      <c r="AG48">
        <v>3</v>
      </c>
      <c r="AH48">
        <v>0</v>
      </c>
      <c r="AI48">
        <v>0</v>
      </c>
      <c r="AJ48">
        <v>0</v>
      </c>
      <c r="AK48">
        <v>0</v>
      </c>
      <c r="AL48">
        <v>0</v>
      </c>
      <c r="AM48">
        <v>3</v>
      </c>
      <c r="AN48" t="s">
        <v>493</v>
      </c>
      <c r="AO48" t="s">
        <v>494</v>
      </c>
      <c r="AP48">
        <v>17</v>
      </c>
      <c r="AQ48" t="s">
        <v>495</v>
      </c>
      <c r="AR48" t="s">
        <v>496</v>
      </c>
      <c r="AS48">
        <v>1</v>
      </c>
      <c r="AT48" t="s">
        <v>497</v>
      </c>
      <c r="AU48" t="s">
        <v>714</v>
      </c>
      <c r="AV48" t="s">
        <v>498</v>
      </c>
      <c r="AW48" t="s">
        <v>717</v>
      </c>
      <c r="AX48">
        <v>44.797049169999987</v>
      </c>
      <c r="AY48">
        <v>-68.761350610000008</v>
      </c>
      <c r="AZ48">
        <v>9</v>
      </c>
      <c r="BA48" t="s">
        <v>601</v>
      </c>
      <c r="BB48" t="s">
        <v>501</v>
      </c>
      <c r="BC48">
        <v>4041936</v>
      </c>
      <c r="BD48">
        <v>4</v>
      </c>
      <c r="BE48" t="s">
        <v>502</v>
      </c>
      <c r="BF48" t="s">
        <v>503</v>
      </c>
      <c r="BG48" t="s">
        <v>504</v>
      </c>
      <c r="BH48" t="s">
        <v>505</v>
      </c>
      <c r="BI48">
        <v>153926</v>
      </c>
      <c r="BJ48">
        <v>0</v>
      </c>
    </row>
    <row r="49" spans="1:62" x14ac:dyDescent="0.35">
      <c r="A49" t="s">
        <v>477</v>
      </c>
      <c r="B49" t="s">
        <v>718</v>
      </c>
      <c r="C49" s="292">
        <v>45658</v>
      </c>
      <c r="D49" t="s">
        <v>479</v>
      </c>
      <c r="E49" t="s">
        <v>574</v>
      </c>
      <c r="F49" t="s">
        <v>719</v>
      </c>
      <c r="G49">
        <v>2025</v>
      </c>
      <c r="H49" t="s">
        <v>396</v>
      </c>
      <c r="I49" t="s">
        <v>570</v>
      </c>
      <c r="J49" t="s">
        <v>510</v>
      </c>
      <c r="K49" t="s">
        <v>556</v>
      </c>
      <c r="L49" t="s">
        <v>485</v>
      </c>
      <c r="M49" t="s">
        <v>486</v>
      </c>
      <c r="N49" t="s">
        <v>487</v>
      </c>
      <c r="O49" t="s">
        <v>511</v>
      </c>
      <c r="Q49" t="s">
        <v>488</v>
      </c>
      <c r="T49" t="s">
        <v>489</v>
      </c>
      <c r="U49" t="s">
        <v>490</v>
      </c>
      <c r="V49">
        <v>10.3</v>
      </c>
      <c r="W49">
        <v>2</v>
      </c>
      <c r="X49">
        <v>4201</v>
      </c>
      <c r="Y49">
        <v>25</v>
      </c>
      <c r="Z49" t="s">
        <v>491</v>
      </c>
      <c r="AA49" t="s">
        <v>491</v>
      </c>
      <c r="AC49" t="s">
        <v>491</v>
      </c>
      <c r="AD49" t="s">
        <v>492</v>
      </c>
      <c r="AE49" t="s">
        <v>492</v>
      </c>
      <c r="AF49">
        <v>2</v>
      </c>
      <c r="AG49">
        <v>4</v>
      </c>
      <c r="AH49">
        <v>1</v>
      </c>
      <c r="AI49">
        <v>0</v>
      </c>
      <c r="AJ49">
        <v>0</v>
      </c>
      <c r="AK49">
        <v>1</v>
      </c>
      <c r="AL49">
        <v>0</v>
      </c>
      <c r="AM49">
        <v>3</v>
      </c>
      <c r="AN49" t="s">
        <v>685</v>
      </c>
      <c r="AO49" t="s">
        <v>494</v>
      </c>
      <c r="AP49">
        <v>17</v>
      </c>
      <c r="AQ49" t="s">
        <v>495</v>
      </c>
      <c r="AR49" t="s">
        <v>558</v>
      </c>
      <c r="AS49">
        <v>4</v>
      </c>
      <c r="AT49" t="s">
        <v>497</v>
      </c>
      <c r="AU49" t="s">
        <v>720</v>
      </c>
      <c r="AV49" t="s">
        <v>498</v>
      </c>
      <c r="AW49" t="s">
        <v>721</v>
      </c>
      <c r="AX49">
        <v>44.797166259999997</v>
      </c>
      <c r="AY49">
        <v>-68.761042559999993</v>
      </c>
      <c r="AZ49">
        <v>1</v>
      </c>
      <c r="BA49" t="s">
        <v>514</v>
      </c>
      <c r="BB49" t="s">
        <v>501</v>
      </c>
      <c r="BC49">
        <v>4041942</v>
      </c>
      <c r="BD49">
        <v>4</v>
      </c>
      <c r="BE49" t="s">
        <v>502</v>
      </c>
      <c r="BF49" t="s">
        <v>503</v>
      </c>
      <c r="BG49" t="s">
        <v>504</v>
      </c>
      <c r="BH49" t="s">
        <v>560</v>
      </c>
      <c r="BI49">
        <v>161361</v>
      </c>
      <c r="BJ49">
        <v>0.01</v>
      </c>
    </row>
    <row r="50" spans="1:62" x14ac:dyDescent="0.35">
      <c r="A50" t="s">
        <v>477</v>
      </c>
      <c r="B50" t="s">
        <v>722</v>
      </c>
      <c r="C50" s="292">
        <v>43108</v>
      </c>
      <c r="D50" t="s">
        <v>479</v>
      </c>
      <c r="E50" t="s">
        <v>523</v>
      </c>
      <c r="F50" t="s">
        <v>723</v>
      </c>
      <c r="G50">
        <v>2018</v>
      </c>
      <c r="H50" t="s">
        <v>724</v>
      </c>
      <c r="I50" t="s">
        <v>482</v>
      </c>
      <c r="J50" t="s">
        <v>483</v>
      </c>
      <c r="K50" t="s">
        <v>525</v>
      </c>
      <c r="L50" t="s">
        <v>590</v>
      </c>
      <c r="M50" t="s">
        <v>590</v>
      </c>
      <c r="N50" t="s">
        <v>487</v>
      </c>
      <c r="O50" t="s">
        <v>553</v>
      </c>
      <c r="Q50" t="s">
        <v>488</v>
      </c>
      <c r="S50">
        <v>39690</v>
      </c>
      <c r="T50" t="s">
        <v>489</v>
      </c>
      <c r="U50" t="s">
        <v>490</v>
      </c>
      <c r="V50">
        <v>10.28</v>
      </c>
      <c r="W50">
        <v>1</v>
      </c>
      <c r="X50">
        <v>22335.5</v>
      </c>
      <c r="Z50" t="s">
        <v>491</v>
      </c>
      <c r="AA50" t="s">
        <v>491</v>
      </c>
      <c r="AB50" t="s">
        <v>491</v>
      </c>
      <c r="AC50" t="s">
        <v>491</v>
      </c>
      <c r="AD50" t="s">
        <v>492</v>
      </c>
      <c r="AE50" t="s">
        <v>492</v>
      </c>
      <c r="AF50">
        <v>2</v>
      </c>
      <c r="AG50">
        <v>2</v>
      </c>
      <c r="AH50">
        <v>0</v>
      </c>
      <c r="AI50">
        <v>0</v>
      </c>
      <c r="AJ50">
        <v>0</v>
      </c>
      <c r="AK50">
        <v>0</v>
      </c>
      <c r="AL50">
        <v>0</v>
      </c>
      <c r="AM50">
        <v>2</v>
      </c>
      <c r="AN50" t="s">
        <v>493</v>
      </c>
      <c r="AO50" t="s">
        <v>494</v>
      </c>
      <c r="AP50">
        <v>10</v>
      </c>
      <c r="AQ50" t="s">
        <v>527</v>
      </c>
      <c r="AR50" t="s">
        <v>496</v>
      </c>
      <c r="AS50">
        <v>2</v>
      </c>
      <c r="AT50" t="s">
        <v>497</v>
      </c>
      <c r="AU50" t="s">
        <v>725</v>
      </c>
      <c r="AV50" t="s">
        <v>498</v>
      </c>
      <c r="AW50" t="s">
        <v>726</v>
      </c>
      <c r="AX50">
        <v>44.797342489999998</v>
      </c>
      <c r="AY50">
        <v>-68.761545810000001</v>
      </c>
      <c r="AZ50">
        <v>1</v>
      </c>
      <c r="BA50" t="s">
        <v>514</v>
      </c>
      <c r="BB50" t="s">
        <v>501</v>
      </c>
      <c r="BC50">
        <v>4041936</v>
      </c>
      <c r="BD50">
        <v>4</v>
      </c>
      <c r="BE50" t="s">
        <v>502</v>
      </c>
      <c r="BF50" t="s">
        <v>503</v>
      </c>
      <c r="BG50" t="s">
        <v>504</v>
      </c>
      <c r="BH50" t="s">
        <v>505</v>
      </c>
      <c r="BI50">
        <v>166045</v>
      </c>
      <c r="BJ50">
        <v>0</v>
      </c>
    </row>
    <row r="51" spans="1:62" x14ac:dyDescent="0.35">
      <c r="A51" t="s">
        <v>477</v>
      </c>
      <c r="B51" t="s">
        <v>727</v>
      </c>
      <c r="C51" s="292">
        <v>43914</v>
      </c>
      <c r="D51" t="s">
        <v>479</v>
      </c>
      <c r="E51" t="s">
        <v>541</v>
      </c>
      <c r="F51" t="s">
        <v>728</v>
      </c>
      <c r="G51">
        <v>2020</v>
      </c>
      <c r="H51" t="s">
        <v>724</v>
      </c>
      <c r="I51" t="s">
        <v>532</v>
      </c>
      <c r="J51" t="s">
        <v>483</v>
      </c>
      <c r="K51" t="s">
        <v>484</v>
      </c>
      <c r="L51" t="s">
        <v>590</v>
      </c>
      <c r="M51" t="s">
        <v>590</v>
      </c>
      <c r="N51" t="s">
        <v>487</v>
      </c>
      <c r="O51" t="s">
        <v>729</v>
      </c>
      <c r="Q51" t="s">
        <v>488</v>
      </c>
      <c r="S51">
        <v>39690</v>
      </c>
      <c r="T51" t="s">
        <v>489</v>
      </c>
      <c r="U51" t="s">
        <v>490</v>
      </c>
      <c r="V51">
        <v>10.28</v>
      </c>
      <c r="W51">
        <v>1</v>
      </c>
      <c r="X51">
        <v>22335.5</v>
      </c>
      <c r="Z51" t="s">
        <v>491</v>
      </c>
      <c r="AA51" t="s">
        <v>491</v>
      </c>
      <c r="AB51" t="s">
        <v>491</v>
      </c>
      <c r="AC51" t="s">
        <v>491</v>
      </c>
      <c r="AD51" t="s">
        <v>492</v>
      </c>
      <c r="AE51" t="s">
        <v>492</v>
      </c>
      <c r="AF51">
        <v>2</v>
      </c>
      <c r="AG51">
        <v>3</v>
      </c>
      <c r="AH51">
        <v>0</v>
      </c>
      <c r="AI51">
        <v>0</v>
      </c>
      <c r="AJ51">
        <v>0</v>
      </c>
      <c r="AK51">
        <v>0</v>
      </c>
      <c r="AL51">
        <v>0</v>
      </c>
      <c r="AM51">
        <v>3</v>
      </c>
      <c r="AN51" t="s">
        <v>493</v>
      </c>
      <c r="AO51" t="s">
        <v>494</v>
      </c>
      <c r="AP51">
        <v>3</v>
      </c>
      <c r="AQ51" t="s">
        <v>495</v>
      </c>
      <c r="AR51" t="s">
        <v>496</v>
      </c>
      <c r="AS51">
        <v>3</v>
      </c>
      <c r="AT51" t="s">
        <v>497</v>
      </c>
      <c r="AU51" t="s">
        <v>730</v>
      </c>
      <c r="AV51" t="s">
        <v>498</v>
      </c>
      <c r="AW51" t="s">
        <v>731</v>
      </c>
      <c r="AX51">
        <v>44.797049169999987</v>
      </c>
      <c r="AY51">
        <v>-68.761350610000008</v>
      </c>
      <c r="AZ51">
        <v>3</v>
      </c>
      <c r="BA51" t="s">
        <v>622</v>
      </c>
      <c r="BB51" t="s">
        <v>501</v>
      </c>
      <c r="BC51">
        <v>4041936</v>
      </c>
      <c r="BD51">
        <v>4</v>
      </c>
      <c r="BE51" t="s">
        <v>502</v>
      </c>
      <c r="BF51" t="s">
        <v>503</v>
      </c>
      <c r="BG51" t="s">
        <v>504</v>
      </c>
      <c r="BH51" t="s">
        <v>505</v>
      </c>
      <c r="BI51">
        <v>171431</v>
      </c>
      <c r="BJ51">
        <v>0</v>
      </c>
    </row>
    <row r="52" spans="1:62" x14ac:dyDescent="0.35">
      <c r="A52" t="s">
        <v>477</v>
      </c>
      <c r="B52" t="s">
        <v>732</v>
      </c>
      <c r="C52" s="292">
        <v>44990</v>
      </c>
      <c r="D52" t="s">
        <v>479</v>
      </c>
      <c r="E52" t="s">
        <v>594</v>
      </c>
      <c r="F52" t="s">
        <v>733</v>
      </c>
      <c r="G52">
        <v>2023</v>
      </c>
      <c r="H52" t="s">
        <v>396</v>
      </c>
      <c r="I52" t="s">
        <v>482</v>
      </c>
      <c r="J52" t="s">
        <v>483</v>
      </c>
      <c r="K52" t="s">
        <v>484</v>
      </c>
      <c r="L52" t="s">
        <v>526</v>
      </c>
      <c r="M52" t="s">
        <v>486</v>
      </c>
      <c r="N52" t="s">
        <v>487</v>
      </c>
      <c r="O52" t="s">
        <v>518</v>
      </c>
      <c r="P52" t="s">
        <v>553</v>
      </c>
      <c r="Q52" t="s">
        <v>488</v>
      </c>
      <c r="S52">
        <v>39690</v>
      </c>
      <c r="T52" t="s">
        <v>489</v>
      </c>
      <c r="U52" t="s">
        <v>490</v>
      </c>
      <c r="V52">
        <v>10.28</v>
      </c>
      <c r="W52">
        <v>1</v>
      </c>
      <c r="X52">
        <v>22335.5</v>
      </c>
      <c r="Z52" t="s">
        <v>491</v>
      </c>
      <c r="AA52" t="s">
        <v>491</v>
      </c>
      <c r="AC52" t="s">
        <v>491</v>
      </c>
      <c r="AD52" t="s">
        <v>492</v>
      </c>
      <c r="AE52" t="s">
        <v>492</v>
      </c>
      <c r="AF52">
        <v>2</v>
      </c>
      <c r="AG52">
        <v>2</v>
      </c>
      <c r="AH52">
        <v>2</v>
      </c>
      <c r="AI52">
        <v>0</v>
      </c>
      <c r="AJ52">
        <v>0</v>
      </c>
      <c r="AK52">
        <v>2</v>
      </c>
      <c r="AL52">
        <v>0</v>
      </c>
      <c r="AM52">
        <v>0</v>
      </c>
      <c r="AN52" t="s">
        <v>685</v>
      </c>
      <c r="AO52" t="s">
        <v>494</v>
      </c>
      <c r="AP52">
        <v>6</v>
      </c>
      <c r="AQ52" t="s">
        <v>495</v>
      </c>
      <c r="AR52" t="s">
        <v>496</v>
      </c>
      <c r="AS52">
        <v>1</v>
      </c>
      <c r="AT52" t="s">
        <v>497</v>
      </c>
      <c r="AU52" t="s">
        <v>734</v>
      </c>
      <c r="AV52" t="s">
        <v>498</v>
      </c>
      <c r="AW52" t="s">
        <v>735</v>
      </c>
      <c r="AX52">
        <v>44.797049169999987</v>
      </c>
      <c r="AY52">
        <v>-68.761350610000008</v>
      </c>
      <c r="AZ52">
        <v>3</v>
      </c>
      <c r="BA52" t="s">
        <v>622</v>
      </c>
      <c r="BB52" t="s">
        <v>501</v>
      </c>
      <c r="BC52">
        <v>4041936</v>
      </c>
      <c r="BD52">
        <v>4</v>
      </c>
      <c r="BE52" t="s">
        <v>502</v>
      </c>
      <c r="BF52" t="s">
        <v>503</v>
      </c>
      <c r="BG52" t="s">
        <v>504</v>
      </c>
      <c r="BH52" t="s">
        <v>505</v>
      </c>
      <c r="BI52">
        <v>171660</v>
      </c>
      <c r="BJ52">
        <v>0</v>
      </c>
    </row>
    <row r="53" spans="1:62" x14ac:dyDescent="0.35">
      <c r="A53" t="s">
        <v>477</v>
      </c>
      <c r="B53" t="s">
        <v>736</v>
      </c>
      <c r="C53" s="292">
        <v>43368</v>
      </c>
      <c r="D53" t="s">
        <v>479</v>
      </c>
      <c r="E53" t="s">
        <v>541</v>
      </c>
      <c r="F53" t="s">
        <v>737</v>
      </c>
      <c r="G53">
        <v>2018</v>
      </c>
      <c r="H53" t="s">
        <v>396</v>
      </c>
      <c r="I53" t="s">
        <v>482</v>
      </c>
      <c r="J53" t="s">
        <v>510</v>
      </c>
      <c r="K53" t="s">
        <v>556</v>
      </c>
      <c r="L53" t="s">
        <v>526</v>
      </c>
      <c r="M53" t="s">
        <v>563</v>
      </c>
      <c r="N53" t="s">
        <v>487</v>
      </c>
      <c r="O53" t="s">
        <v>553</v>
      </c>
      <c r="Q53" t="s">
        <v>488</v>
      </c>
      <c r="T53" t="s">
        <v>738</v>
      </c>
      <c r="U53" t="s">
        <v>739</v>
      </c>
      <c r="V53">
        <v>0.98000000000000009</v>
      </c>
      <c r="W53">
        <v>1</v>
      </c>
      <c r="X53">
        <v>7661</v>
      </c>
      <c r="Y53">
        <v>30</v>
      </c>
      <c r="Z53" t="s">
        <v>491</v>
      </c>
      <c r="AA53" t="s">
        <v>491</v>
      </c>
      <c r="AB53" t="s">
        <v>491</v>
      </c>
      <c r="AC53" t="s">
        <v>491</v>
      </c>
      <c r="AD53" t="s">
        <v>492</v>
      </c>
      <c r="AE53" t="s">
        <v>492</v>
      </c>
      <c r="AF53">
        <v>2</v>
      </c>
      <c r="AG53">
        <v>2</v>
      </c>
      <c r="AH53">
        <v>0</v>
      </c>
      <c r="AI53">
        <v>0</v>
      </c>
      <c r="AJ53">
        <v>0</v>
      </c>
      <c r="AK53">
        <v>0</v>
      </c>
      <c r="AL53">
        <v>0</v>
      </c>
      <c r="AM53">
        <v>2</v>
      </c>
      <c r="AN53" t="s">
        <v>493</v>
      </c>
      <c r="AO53" t="s">
        <v>494</v>
      </c>
      <c r="AP53">
        <v>18</v>
      </c>
      <c r="AQ53" t="s">
        <v>495</v>
      </c>
      <c r="AR53" t="s">
        <v>672</v>
      </c>
      <c r="AS53">
        <v>3</v>
      </c>
      <c r="AT53" t="s">
        <v>497</v>
      </c>
      <c r="AU53" t="s">
        <v>736</v>
      </c>
      <c r="AV53" t="s">
        <v>498</v>
      </c>
      <c r="AW53" t="s">
        <v>740</v>
      </c>
      <c r="AX53">
        <v>44.797198219999999</v>
      </c>
      <c r="AY53">
        <v>-68.761575919999999</v>
      </c>
      <c r="AZ53">
        <v>9</v>
      </c>
      <c r="BA53" t="s">
        <v>601</v>
      </c>
      <c r="BB53" t="s">
        <v>501</v>
      </c>
      <c r="BC53">
        <v>4041936</v>
      </c>
      <c r="BD53">
        <v>4</v>
      </c>
      <c r="BE53" t="s">
        <v>502</v>
      </c>
      <c r="BF53" t="s">
        <v>503</v>
      </c>
      <c r="BG53" t="s">
        <v>504</v>
      </c>
      <c r="BH53" t="s">
        <v>560</v>
      </c>
      <c r="BI53">
        <v>173997</v>
      </c>
      <c r="BJ53">
        <v>0.02</v>
      </c>
    </row>
    <row r="54" spans="1:62" x14ac:dyDescent="0.35">
      <c r="A54" t="s">
        <v>477</v>
      </c>
      <c r="B54" t="s">
        <v>741</v>
      </c>
      <c r="C54" s="292">
        <v>43528</v>
      </c>
      <c r="D54" t="s">
        <v>479</v>
      </c>
      <c r="E54" t="s">
        <v>523</v>
      </c>
      <c r="F54" t="s">
        <v>742</v>
      </c>
      <c r="G54">
        <v>2019</v>
      </c>
      <c r="H54" t="s">
        <v>724</v>
      </c>
      <c r="I54" t="s">
        <v>482</v>
      </c>
      <c r="J54" t="s">
        <v>483</v>
      </c>
      <c r="K54" t="s">
        <v>484</v>
      </c>
      <c r="L54" t="s">
        <v>590</v>
      </c>
      <c r="M54" t="s">
        <v>590</v>
      </c>
      <c r="N54" t="s">
        <v>487</v>
      </c>
      <c r="O54" t="s">
        <v>488</v>
      </c>
      <c r="Q54" t="s">
        <v>729</v>
      </c>
      <c r="R54" t="s">
        <v>518</v>
      </c>
      <c r="S54">
        <v>39690</v>
      </c>
      <c r="T54" t="s">
        <v>489</v>
      </c>
      <c r="U54" t="s">
        <v>490</v>
      </c>
      <c r="V54">
        <v>10.28</v>
      </c>
      <c r="W54">
        <v>1</v>
      </c>
      <c r="X54">
        <v>22335.5</v>
      </c>
      <c r="Z54" t="s">
        <v>491</v>
      </c>
      <c r="AA54" t="s">
        <v>491</v>
      </c>
      <c r="AB54" t="s">
        <v>491</v>
      </c>
      <c r="AC54" t="s">
        <v>491</v>
      </c>
      <c r="AD54" t="s">
        <v>492</v>
      </c>
      <c r="AE54" t="s">
        <v>492</v>
      </c>
      <c r="AF54">
        <v>2</v>
      </c>
      <c r="AG54">
        <v>2</v>
      </c>
      <c r="AH54">
        <v>0</v>
      </c>
      <c r="AI54">
        <v>0</v>
      </c>
      <c r="AJ54">
        <v>0</v>
      </c>
      <c r="AK54">
        <v>0</v>
      </c>
      <c r="AL54">
        <v>0</v>
      </c>
      <c r="AM54">
        <v>2</v>
      </c>
      <c r="AN54" t="s">
        <v>493</v>
      </c>
      <c r="AO54" t="s">
        <v>494</v>
      </c>
      <c r="AP54">
        <v>7</v>
      </c>
      <c r="AQ54" t="s">
        <v>495</v>
      </c>
      <c r="AR54" t="s">
        <v>496</v>
      </c>
      <c r="AS54">
        <v>2</v>
      </c>
      <c r="AT54" t="s">
        <v>497</v>
      </c>
      <c r="AU54" t="s">
        <v>741</v>
      </c>
      <c r="AV54" t="s">
        <v>498</v>
      </c>
      <c r="AW54" t="s">
        <v>743</v>
      </c>
      <c r="AX54">
        <v>44.797049999999999</v>
      </c>
      <c r="AY54">
        <v>-68.761350000000007</v>
      </c>
      <c r="AZ54">
        <v>3</v>
      </c>
      <c r="BA54" t="s">
        <v>622</v>
      </c>
      <c r="BB54" t="s">
        <v>501</v>
      </c>
      <c r="BC54">
        <v>4041936</v>
      </c>
      <c r="BD54">
        <v>4</v>
      </c>
      <c r="BE54" t="s">
        <v>502</v>
      </c>
      <c r="BF54" t="s">
        <v>503</v>
      </c>
      <c r="BG54" t="s">
        <v>504</v>
      </c>
      <c r="BH54" t="s">
        <v>505</v>
      </c>
      <c r="BI54">
        <v>180996</v>
      </c>
      <c r="BJ54">
        <v>0</v>
      </c>
    </row>
    <row r="55" spans="1:62" x14ac:dyDescent="0.35">
      <c r="A55" t="s">
        <v>477</v>
      </c>
      <c r="B55" t="s">
        <v>744</v>
      </c>
      <c r="C55" s="292">
        <v>44073</v>
      </c>
      <c r="D55" t="s">
        <v>479</v>
      </c>
      <c r="E55" t="s">
        <v>594</v>
      </c>
      <c r="F55" t="s">
        <v>745</v>
      </c>
      <c r="G55">
        <v>2020</v>
      </c>
      <c r="H55" t="s">
        <v>396</v>
      </c>
      <c r="I55" t="s">
        <v>482</v>
      </c>
      <c r="J55" t="s">
        <v>510</v>
      </c>
      <c r="K55" t="s">
        <v>556</v>
      </c>
      <c r="L55" t="s">
        <v>485</v>
      </c>
      <c r="M55" t="s">
        <v>486</v>
      </c>
      <c r="N55" t="s">
        <v>487</v>
      </c>
      <c r="O55" t="s">
        <v>609</v>
      </c>
      <c r="Q55" t="s">
        <v>488</v>
      </c>
      <c r="T55" t="s">
        <v>489</v>
      </c>
      <c r="U55" t="s">
        <v>490</v>
      </c>
      <c r="V55">
        <v>10.33</v>
      </c>
      <c r="W55">
        <v>2</v>
      </c>
      <c r="X55">
        <v>12872</v>
      </c>
      <c r="Y55">
        <v>25</v>
      </c>
      <c r="Z55" t="s">
        <v>491</v>
      </c>
      <c r="AA55" t="s">
        <v>491</v>
      </c>
      <c r="AB55" t="s">
        <v>491</v>
      </c>
      <c r="AC55" t="s">
        <v>491</v>
      </c>
      <c r="AD55" t="s">
        <v>492</v>
      </c>
      <c r="AE55" t="s">
        <v>492</v>
      </c>
      <c r="AF55">
        <v>2</v>
      </c>
      <c r="AG55">
        <v>2</v>
      </c>
      <c r="AH55">
        <v>0</v>
      </c>
      <c r="AI55">
        <v>0</v>
      </c>
      <c r="AJ55">
        <v>0</v>
      </c>
      <c r="AK55">
        <v>0</v>
      </c>
      <c r="AL55">
        <v>0</v>
      </c>
      <c r="AM55">
        <v>2</v>
      </c>
      <c r="AN55" t="s">
        <v>493</v>
      </c>
      <c r="AO55" t="s">
        <v>494</v>
      </c>
      <c r="AP55">
        <v>8</v>
      </c>
      <c r="AQ55" t="s">
        <v>645</v>
      </c>
      <c r="AR55" t="s">
        <v>558</v>
      </c>
      <c r="AS55">
        <v>1</v>
      </c>
      <c r="AT55" t="s">
        <v>497</v>
      </c>
      <c r="AU55" t="s">
        <v>744</v>
      </c>
      <c r="AV55" t="s">
        <v>498</v>
      </c>
      <c r="AW55" t="s">
        <v>746</v>
      </c>
      <c r="AX55">
        <v>44.797504480000001</v>
      </c>
      <c r="AY55">
        <v>-68.760506079999999</v>
      </c>
      <c r="AZ55">
        <v>8</v>
      </c>
      <c r="BA55" t="s">
        <v>667</v>
      </c>
      <c r="BB55" t="s">
        <v>501</v>
      </c>
      <c r="BC55">
        <v>4041934</v>
      </c>
      <c r="BD55">
        <v>4</v>
      </c>
      <c r="BE55" t="s">
        <v>502</v>
      </c>
      <c r="BF55" t="s">
        <v>503</v>
      </c>
      <c r="BG55" t="s">
        <v>504</v>
      </c>
      <c r="BH55" t="s">
        <v>560</v>
      </c>
      <c r="BI55">
        <v>182227</v>
      </c>
      <c r="BJ55">
        <v>0.02</v>
      </c>
    </row>
    <row r="56" spans="1:62" x14ac:dyDescent="0.35">
      <c r="A56" t="s">
        <v>477</v>
      </c>
      <c r="B56" t="s">
        <v>747</v>
      </c>
      <c r="C56" s="292">
        <v>44071</v>
      </c>
      <c r="D56" t="s">
        <v>479</v>
      </c>
      <c r="E56" t="s">
        <v>549</v>
      </c>
      <c r="F56" t="s">
        <v>748</v>
      </c>
      <c r="G56">
        <v>2020</v>
      </c>
      <c r="H56" t="s">
        <v>396</v>
      </c>
      <c r="I56" t="s">
        <v>482</v>
      </c>
      <c r="J56" t="s">
        <v>510</v>
      </c>
      <c r="K56" t="s">
        <v>556</v>
      </c>
      <c r="L56" t="s">
        <v>485</v>
      </c>
      <c r="M56" t="s">
        <v>486</v>
      </c>
      <c r="O56" t="s">
        <v>553</v>
      </c>
      <c r="P56" t="s">
        <v>488</v>
      </c>
      <c r="Q56" t="s">
        <v>488</v>
      </c>
      <c r="T56" t="s">
        <v>489</v>
      </c>
      <c r="U56" t="s">
        <v>490</v>
      </c>
      <c r="V56">
        <v>10.34</v>
      </c>
      <c r="W56">
        <v>2</v>
      </c>
      <c r="X56">
        <v>12872</v>
      </c>
      <c r="Y56">
        <v>25</v>
      </c>
      <c r="Z56" t="s">
        <v>491</v>
      </c>
      <c r="AA56" t="s">
        <v>491</v>
      </c>
      <c r="AB56" t="s">
        <v>491</v>
      </c>
      <c r="AC56" t="s">
        <v>491</v>
      </c>
      <c r="AD56" t="s">
        <v>492</v>
      </c>
      <c r="AE56" t="s">
        <v>492</v>
      </c>
      <c r="AF56">
        <v>2</v>
      </c>
      <c r="AG56">
        <v>2</v>
      </c>
      <c r="AH56">
        <v>0</v>
      </c>
      <c r="AI56">
        <v>0</v>
      </c>
      <c r="AJ56">
        <v>0</v>
      </c>
      <c r="AK56">
        <v>0</v>
      </c>
      <c r="AL56">
        <v>0</v>
      </c>
      <c r="AM56">
        <v>2</v>
      </c>
      <c r="AN56" t="s">
        <v>493</v>
      </c>
      <c r="AO56" t="s">
        <v>494</v>
      </c>
      <c r="AP56">
        <v>17</v>
      </c>
      <c r="AQ56" t="s">
        <v>396</v>
      </c>
      <c r="AR56" t="s">
        <v>558</v>
      </c>
      <c r="AS56">
        <v>6</v>
      </c>
      <c r="AT56" t="s">
        <v>497</v>
      </c>
      <c r="AU56" t="s">
        <v>747</v>
      </c>
      <c r="AV56" t="s">
        <v>498</v>
      </c>
      <c r="AW56" t="s">
        <v>749</v>
      </c>
      <c r="AX56">
        <v>44.797592000000002</v>
      </c>
      <c r="AY56">
        <v>-68.760342320000007</v>
      </c>
      <c r="AZ56">
        <v>8</v>
      </c>
      <c r="BA56" t="s">
        <v>667</v>
      </c>
      <c r="BB56" t="s">
        <v>501</v>
      </c>
      <c r="BC56">
        <v>4041934</v>
      </c>
      <c r="BD56">
        <v>4</v>
      </c>
      <c r="BE56" t="s">
        <v>502</v>
      </c>
      <c r="BF56" t="s">
        <v>503</v>
      </c>
      <c r="BG56" t="s">
        <v>504</v>
      </c>
      <c r="BH56" t="s">
        <v>560</v>
      </c>
      <c r="BI56">
        <v>182534</v>
      </c>
      <c r="BJ56">
        <v>0.01</v>
      </c>
    </row>
    <row r="57" spans="1:62" x14ac:dyDescent="0.35">
      <c r="A57" t="s">
        <v>477</v>
      </c>
      <c r="B57" t="s">
        <v>750</v>
      </c>
      <c r="C57" s="292">
        <v>44840</v>
      </c>
      <c r="D57" t="s">
        <v>479</v>
      </c>
      <c r="E57" t="s">
        <v>516</v>
      </c>
      <c r="F57" t="s">
        <v>751</v>
      </c>
      <c r="G57">
        <v>2022</v>
      </c>
      <c r="H57" t="s">
        <v>396</v>
      </c>
      <c r="I57" t="s">
        <v>482</v>
      </c>
      <c r="J57" t="s">
        <v>510</v>
      </c>
      <c r="K57" t="s">
        <v>484</v>
      </c>
      <c r="L57" t="s">
        <v>485</v>
      </c>
      <c r="M57" t="s">
        <v>486</v>
      </c>
      <c r="N57" t="s">
        <v>487</v>
      </c>
      <c r="O57" t="s">
        <v>511</v>
      </c>
      <c r="Q57" t="s">
        <v>488</v>
      </c>
      <c r="S57">
        <v>39690</v>
      </c>
      <c r="T57" t="s">
        <v>489</v>
      </c>
      <c r="U57" t="s">
        <v>490</v>
      </c>
      <c r="V57">
        <v>10.28</v>
      </c>
      <c r="W57">
        <v>1</v>
      </c>
      <c r="X57">
        <v>22335.5</v>
      </c>
      <c r="Z57" t="s">
        <v>491</v>
      </c>
      <c r="AA57" t="s">
        <v>491</v>
      </c>
      <c r="AC57" t="s">
        <v>491</v>
      </c>
      <c r="AD57" t="s">
        <v>492</v>
      </c>
      <c r="AE57" t="s">
        <v>492</v>
      </c>
      <c r="AF57">
        <v>2</v>
      </c>
      <c r="AG57">
        <v>3</v>
      </c>
      <c r="AH57">
        <v>0</v>
      </c>
      <c r="AI57">
        <v>0</v>
      </c>
      <c r="AJ57">
        <v>0</v>
      </c>
      <c r="AK57">
        <v>0</v>
      </c>
      <c r="AL57">
        <v>0</v>
      </c>
      <c r="AM57">
        <v>3</v>
      </c>
      <c r="AN57" t="s">
        <v>493</v>
      </c>
      <c r="AO57" t="s">
        <v>494</v>
      </c>
      <c r="AP57">
        <v>16</v>
      </c>
      <c r="AQ57" t="s">
        <v>495</v>
      </c>
      <c r="AR57" t="s">
        <v>496</v>
      </c>
      <c r="AS57">
        <v>5</v>
      </c>
      <c r="AT57" t="s">
        <v>497</v>
      </c>
      <c r="AU57" t="s">
        <v>750</v>
      </c>
      <c r="AV57" t="s">
        <v>498</v>
      </c>
      <c r="AW57" t="s">
        <v>752</v>
      </c>
      <c r="AX57">
        <v>44.797049169999987</v>
      </c>
      <c r="AY57">
        <v>-68.761350610000008</v>
      </c>
      <c r="AZ57">
        <v>10</v>
      </c>
      <c r="BA57" t="s">
        <v>548</v>
      </c>
      <c r="BB57" t="s">
        <v>501</v>
      </c>
      <c r="BC57">
        <v>4041936</v>
      </c>
      <c r="BD57">
        <v>4</v>
      </c>
      <c r="BE57" t="s">
        <v>502</v>
      </c>
      <c r="BF57" t="s">
        <v>503</v>
      </c>
      <c r="BG57" t="s">
        <v>504</v>
      </c>
      <c r="BH57" t="s">
        <v>505</v>
      </c>
      <c r="BI57">
        <v>184712</v>
      </c>
      <c r="BJ57">
        <v>0</v>
      </c>
    </row>
    <row r="58" spans="1:62" x14ac:dyDescent="0.35">
      <c r="A58" t="s">
        <v>477</v>
      </c>
      <c r="B58" t="s">
        <v>753</v>
      </c>
      <c r="C58" s="292">
        <v>44825</v>
      </c>
      <c r="D58" t="s">
        <v>479</v>
      </c>
      <c r="E58" t="s">
        <v>574</v>
      </c>
      <c r="F58" t="s">
        <v>754</v>
      </c>
      <c r="G58">
        <v>2022</v>
      </c>
      <c r="H58" t="s">
        <v>396</v>
      </c>
      <c r="I58" t="s">
        <v>482</v>
      </c>
      <c r="J58" t="s">
        <v>510</v>
      </c>
      <c r="K58" t="s">
        <v>556</v>
      </c>
      <c r="L58" t="s">
        <v>485</v>
      </c>
      <c r="M58" t="s">
        <v>563</v>
      </c>
      <c r="O58" t="s">
        <v>488</v>
      </c>
      <c r="T58" t="s">
        <v>489</v>
      </c>
      <c r="U58" t="s">
        <v>490</v>
      </c>
      <c r="V58">
        <v>10.3</v>
      </c>
      <c r="W58">
        <v>2</v>
      </c>
      <c r="X58">
        <v>4201</v>
      </c>
      <c r="Y58">
        <v>25</v>
      </c>
      <c r="Z58" t="s">
        <v>491</v>
      </c>
      <c r="AA58" t="s">
        <v>491</v>
      </c>
      <c r="AC58" t="s">
        <v>491</v>
      </c>
      <c r="AD58" t="s">
        <v>492</v>
      </c>
      <c r="AE58" t="s">
        <v>492</v>
      </c>
      <c r="AF58">
        <v>2</v>
      </c>
      <c r="AG58">
        <v>1</v>
      </c>
      <c r="AH58">
        <v>0</v>
      </c>
      <c r="AI58">
        <v>0</v>
      </c>
      <c r="AJ58">
        <v>0</v>
      </c>
      <c r="AK58">
        <v>0</v>
      </c>
      <c r="AL58">
        <v>0</v>
      </c>
      <c r="AM58">
        <v>1</v>
      </c>
      <c r="AN58" t="s">
        <v>493</v>
      </c>
      <c r="AO58" t="s">
        <v>494</v>
      </c>
      <c r="AP58">
        <v>14</v>
      </c>
      <c r="AQ58" t="s">
        <v>396</v>
      </c>
      <c r="AR58" t="s">
        <v>558</v>
      </c>
      <c r="AS58">
        <v>4</v>
      </c>
      <c r="AT58" t="s">
        <v>497</v>
      </c>
      <c r="AU58" t="s">
        <v>753</v>
      </c>
      <c r="AV58" t="s">
        <v>498</v>
      </c>
      <c r="AW58" t="s">
        <v>755</v>
      </c>
      <c r="AX58">
        <v>44.797203639999999</v>
      </c>
      <c r="AY58">
        <v>-68.760976460000009</v>
      </c>
      <c r="AZ58">
        <v>9</v>
      </c>
      <c r="BA58" t="s">
        <v>601</v>
      </c>
      <c r="BB58" t="s">
        <v>501</v>
      </c>
      <c r="BC58">
        <v>4041942</v>
      </c>
      <c r="BD58">
        <v>4</v>
      </c>
      <c r="BE58" t="s">
        <v>502</v>
      </c>
      <c r="BF58" t="s">
        <v>503</v>
      </c>
      <c r="BG58" t="s">
        <v>504</v>
      </c>
      <c r="BH58" t="s">
        <v>560</v>
      </c>
      <c r="BI58">
        <v>187252</v>
      </c>
      <c r="BJ58">
        <v>0.01</v>
      </c>
    </row>
    <row r="59" spans="1:62" x14ac:dyDescent="0.35">
      <c r="A59" t="s">
        <v>477</v>
      </c>
      <c r="B59" t="s">
        <v>756</v>
      </c>
      <c r="C59" s="292">
        <v>45317</v>
      </c>
      <c r="D59" t="s">
        <v>479</v>
      </c>
      <c r="E59" t="s">
        <v>507</v>
      </c>
      <c r="F59" t="s">
        <v>694</v>
      </c>
      <c r="G59">
        <v>2024</v>
      </c>
      <c r="H59" t="s">
        <v>724</v>
      </c>
      <c r="I59" t="s">
        <v>482</v>
      </c>
      <c r="J59" t="s">
        <v>629</v>
      </c>
      <c r="K59" t="s">
        <v>484</v>
      </c>
      <c r="L59" t="s">
        <v>590</v>
      </c>
      <c r="M59" t="s">
        <v>590</v>
      </c>
      <c r="N59" t="s">
        <v>487</v>
      </c>
      <c r="O59" t="s">
        <v>729</v>
      </c>
      <c r="P59" t="s">
        <v>630</v>
      </c>
      <c r="S59">
        <v>39690</v>
      </c>
      <c r="T59" t="s">
        <v>489</v>
      </c>
      <c r="U59" t="s">
        <v>490</v>
      </c>
      <c r="V59">
        <v>10.28</v>
      </c>
      <c r="W59">
        <v>1</v>
      </c>
      <c r="X59">
        <v>22335.5</v>
      </c>
      <c r="Z59" t="s">
        <v>491</v>
      </c>
      <c r="AA59" t="s">
        <v>491</v>
      </c>
      <c r="AC59" t="s">
        <v>491</v>
      </c>
      <c r="AD59" t="s">
        <v>492</v>
      </c>
      <c r="AE59" t="s">
        <v>492</v>
      </c>
      <c r="AF59">
        <v>1</v>
      </c>
      <c r="AG59">
        <v>1</v>
      </c>
      <c r="AH59">
        <v>0</v>
      </c>
      <c r="AI59">
        <v>0</v>
      </c>
      <c r="AJ59">
        <v>0</v>
      </c>
      <c r="AK59">
        <v>0</v>
      </c>
      <c r="AL59">
        <v>0</v>
      </c>
      <c r="AM59">
        <v>1</v>
      </c>
      <c r="AN59" t="s">
        <v>493</v>
      </c>
      <c r="AO59" t="s">
        <v>494</v>
      </c>
      <c r="AP59">
        <v>10</v>
      </c>
      <c r="AQ59" t="s">
        <v>495</v>
      </c>
      <c r="AR59" t="s">
        <v>496</v>
      </c>
      <c r="AS59">
        <v>6</v>
      </c>
      <c r="AT59" t="s">
        <v>497</v>
      </c>
      <c r="AU59" t="s">
        <v>757</v>
      </c>
      <c r="AV59" t="s">
        <v>758</v>
      </c>
      <c r="AW59" t="s">
        <v>759</v>
      </c>
      <c r="AX59">
        <v>44.797049169999987</v>
      </c>
      <c r="AY59">
        <v>-68.761350610000008</v>
      </c>
      <c r="AZ59">
        <v>1</v>
      </c>
      <c r="BA59" t="s">
        <v>514</v>
      </c>
      <c r="BB59" t="s">
        <v>501</v>
      </c>
      <c r="BC59">
        <v>4041936</v>
      </c>
      <c r="BD59">
        <v>4</v>
      </c>
      <c r="BE59" t="s">
        <v>502</v>
      </c>
      <c r="BF59" t="s">
        <v>503</v>
      </c>
      <c r="BG59" t="s">
        <v>504</v>
      </c>
      <c r="BH59" t="s">
        <v>505</v>
      </c>
      <c r="BI59">
        <v>188056</v>
      </c>
      <c r="BJ59">
        <v>0</v>
      </c>
    </row>
    <row r="60" spans="1:62" x14ac:dyDescent="0.35">
      <c r="A60" t="s">
        <v>477</v>
      </c>
      <c r="B60" t="s">
        <v>760</v>
      </c>
      <c r="C60" s="292">
        <v>44855</v>
      </c>
      <c r="D60" t="s">
        <v>479</v>
      </c>
      <c r="E60" t="s">
        <v>549</v>
      </c>
      <c r="F60" t="s">
        <v>761</v>
      </c>
      <c r="G60">
        <v>2022</v>
      </c>
      <c r="H60" t="s">
        <v>396</v>
      </c>
      <c r="I60" t="s">
        <v>482</v>
      </c>
      <c r="J60" t="s">
        <v>483</v>
      </c>
      <c r="K60" t="s">
        <v>484</v>
      </c>
      <c r="L60" t="s">
        <v>485</v>
      </c>
      <c r="M60" t="s">
        <v>486</v>
      </c>
      <c r="N60" t="s">
        <v>487</v>
      </c>
      <c r="Q60" t="s">
        <v>496</v>
      </c>
      <c r="S60">
        <v>39690</v>
      </c>
      <c r="T60" t="s">
        <v>489</v>
      </c>
      <c r="U60" t="s">
        <v>490</v>
      </c>
      <c r="V60">
        <v>10.28</v>
      </c>
      <c r="W60">
        <v>1</v>
      </c>
      <c r="X60">
        <v>22335.5</v>
      </c>
      <c r="Z60" t="s">
        <v>491</v>
      </c>
      <c r="AA60" t="s">
        <v>491</v>
      </c>
      <c r="AC60" t="s">
        <v>491</v>
      </c>
      <c r="AD60" t="s">
        <v>492</v>
      </c>
      <c r="AE60" t="s">
        <v>492</v>
      </c>
      <c r="AF60">
        <v>2</v>
      </c>
      <c r="AG60">
        <v>1</v>
      </c>
      <c r="AH60">
        <v>0</v>
      </c>
      <c r="AI60">
        <v>0</v>
      </c>
      <c r="AJ60">
        <v>0</v>
      </c>
      <c r="AK60">
        <v>0</v>
      </c>
      <c r="AL60">
        <v>0</v>
      </c>
      <c r="AM60">
        <v>1</v>
      </c>
      <c r="AN60" t="s">
        <v>493</v>
      </c>
      <c r="AO60" t="s">
        <v>494</v>
      </c>
      <c r="AP60">
        <v>8</v>
      </c>
      <c r="AQ60" t="s">
        <v>495</v>
      </c>
      <c r="AR60" t="s">
        <v>496</v>
      </c>
      <c r="AS60">
        <v>6</v>
      </c>
      <c r="AT60" t="s">
        <v>497</v>
      </c>
      <c r="AU60" t="s">
        <v>760</v>
      </c>
      <c r="AV60" t="s">
        <v>758</v>
      </c>
      <c r="AW60" t="s">
        <v>762</v>
      </c>
      <c r="AX60">
        <v>44.797049169999987</v>
      </c>
      <c r="AY60">
        <v>-68.761350610000008</v>
      </c>
      <c r="AZ60">
        <v>10</v>
      </c>
      <c r="BA60" t="s">
        <v>548</v>
      </c>
      <c r="BB60" t="s">
        <v>501</v>
      </c>
      <c r="BC60">
        <v>4041936</v>
      </c>
      <c r="BD60">
        <v>4</v>
      </c>
      <c r="BE60" t="s">
        <v>502</v>
      </c>
      <c r="BF60" t="s">
        <v>503</v>
      </c>
      <c r="BG60" t="s">
        <v>504</v>
      </c>
      <c r="BH60" t="s">
        <v>505</v>
      </c>
      <c r="BI60">
        <v>189740</v>
      </c>
      <c r="BJ60">
        <v>0</v>
      </c>
    </row>
    <row r="61" spans="1:62" x14ac:dyDescent="0.35">
      <c r="A61" t="s">
        <v>477</v>
      </c>
      <c r="B61" t="s">
        <v>763</v>
      </c>
      <c r="C61" s="292">
        <v>44310</v>
      </c>
      <c r="D61" t="s">
        <v>479</v>
      </c>
      <c r="E61" t="s">
        <v>552</v>
      </c>
      <c r="F61" t="s">
        <v>764</v>
      </c>
      <c r="G61">
        <v>2021</v>
      </c>
      <c r="H61" t="s">
        <v>396</v>
      </c>
      <c r="I61" t="s">
        <v>482</v>
      </c>
      <c r="J61" t="s">
        <v>510</v>
      </c>
      <c r="K61" t="s">
        <v>484</v>
      </c>
      <c r="L61" t="s">
        <v>485</v>
      </c>
      <c r="M61" t="s">
        <v>486</v>
      </c>
      <c r="N61" t="s">
        <v>487</v>
      </c>
      <c r="O61" t="s">
        <v>511</v>
      </c>
      <c r="Q61" t="s">
        <v>488</v>
      </c>
      <c r="S61">
        <v>39690</v>
      </c>
      <c r="T61" t="s">
        <v>489</v>
      </c>
      <c r="U61" t="s">
        <v>490</v>
      </c>
      <c r="V61">
        <v>10.28</v>
      </c>
      <c r="W61">
        <v>1</v>
      </c>
      <c r="X61">
        <v>22335.5</v>
      </c>
      <c r="Z61" t="s">
        <v>491</v>
      </c>
      <c r="AA61" t="s">
        <v>491</v>
      </c>
      <c r="AB61" t="s">
        <v>491</v>
      </c>
      <c r="AC61" t="s">
        <v>491</v>
      </c>
      <c r="AD61" t="s">
        <v>492</v>
      </c>
      <c r="AE61" t="s">
        <v>492</v>
      </c>
      <c r="AF61">
        <v>2</v>
      </c>
      <c r="AG61">
        <v>3</v>
      </c>
      <c r="AH61">
        <v>0</v>
      </c>
      <c r="AI61">
        <v>0</v>
      </c>
      <c r="AJ61">
        <v>0</v>
      </c>
      <c r="AK61">
        <v>0</v>
      </c>
      <c r="AL61">
        <v>0</v>
      </c>
      <c r="AM61">
        <v>3</v>
      </c>
      <c r="AN61" t="s">
        <v>493</v>
      </c>
      <c r="AO61" t="s">
        <v>494</v>
      </c>
      <c r="AP61">
        <v>11</v>
      </c>
      <c r="AQ61" t="s">
        <v>495</v>
      </c>
      <c r="AR61" t="s">
        <v>496</v>
      </c>
      <c r="AS61">
        <v>7</v>
      </c>
      <c r="AT61" t="s">
        <v>497</v>
      </c>
      <c r="AU61" t="s">
        <v>763</v>
      </c>
      <c r="AV61" t="s">
        <v>498</v>
      </c>
      <c r="AW61" t="s">
        <v>765</v>
      </c>
      <c r="AX61">
        <v>44.797049169999987</v>
      </c>
      <c r="AY61">
        <v>-68.761350610000008</v>
      </c>
      <c r="AZ61">
        <v>4</v>
      </c>
      <c r="BA61" t="s">
        <v>606</v>
      </c>
      <c r="BB61" t="s">
        <v>501</v>
      </c>
      <c r="BC61">
        <v>4041936</v>
      </c>
      <c r="BD61">
        <v>4</v>
      </c>
      <c r="BE61" t="s">
        <v>502</v>
      </c>
      <c r="BF61" t="s">
        <v>503</v>
      </c>
      <c r="BG61" t="s">
        <v>504</v>
      </c>
      <c r="BH61" t="s">
        <v>505</v>
      </c>
      <c r="BI61">
        <v>190722</v>
      </c>
      <c r="BJ61">
        <v>0</v>
      </c>
    </row>
    <row r="62" spans="1:62" x14ac:dyDescent="0.35">
      <c r="A62" t="s">
        <v>477</v>
      </c>
      <c r="B62" t="s">
        <v>766</v>
      </c>
      <c r="C62" s="292">
        <v>44097</v>
      </c>
      <c r="D62" t="s">
        <v>479</v>
      </c>
      <c r="E62" t="s">
        <v>574</v>
      </c>
      <c r="F62" t="s">
        <v>767</v>
      </c>
      <c r="G62">
        <v>2020</v>
      </c>
      <c r="H62" t="s">
        <v>396</v>
      </c>
      <c r="I62" t="s">
        <v>482</v>
      </c>
      <c r="J62" t="s">
        <v>510</v>
      </c>
      <c r="K62" t="s">
        <v>576</v>
      </c>
      <c r="L62" t="s">
        <v>485</v>
      </c>
      <c r="M62" t="s">
        <v>486</v>
      </c>
      <c r="N62" t="s">
        <v>487</v>
      </c>
      <c r="O62" t="s">
        <v>488</v>
      </c>
      <c r="Q62" t="s">
        <v>488</v>
      </c>
      <c r="T62" t="s">
        <v>489</v>
      </c>
      <c r="U62" t="s">
        <v>490</v>
      </c>
      <c r="V62">
        <v>10.33</v>
      </c>
      <c r="W62">
        <v>2</v>
      </c>
      <c r="X62">
        <v>12872</v>
      </c>
      <c r="Y62">
        <v>25</v>
      </c>
      <c r="Z62" t="s">
        <v>491</v>
      </c>
      <c r="AA62" t="s">
        <v>491</v>
      </c>
      <c r="AB62" t="s">
        <v>491</v>
      </c>
      <c r="AC62" t="s">
        <v>491</v>
      </c>
      <c r="AD62" t="s">
        <v>492</v>
      </c>
      <c r="AE62" t="s">
        <v>492</v>
      </c>
      <c r="AF62">
        <v>2</v>
      </c>
      <c r="AG62">
        <v>2</v>
      </c>
      <c r="AH62">
        <v>0</v>
      </c>
      <c r="AI62">
        <v>0</v>
      </c>
      <c r="AJ62">
        <v>0</v>
      </c>
      <c r="AK62">
        <v>0</v>
      </c>
      <c r="AL62">
        <v>0</v>
      </c>
      <c r="AM62">
        <v>2</v>
      </c>
      <c r="AN62" t="s">
        <v>493</v>
      </c>
      <c r="AO62" t="s">
        <v>494</v>
      </c>
      <c r="AP62">
        <v>8</v>
      </c>
      <c r="AQ62" t="s">
        <v>495</v>
      </c>
      <c r="AR62" t="s">
        <v>558</v>
      </c>
      <c r="AS62">
        <v>4</v>
      </c>
      <c r="AT62" t="s">
        <v>497</v>
      </c>
      <c r="AU62" t="s">
        <v>766</v>
      </c>
      <c r="AV62" t="s">
        <v>498</v>
      </c>
      <c r="AW62" t="s">
        <v>768</v>
      </c>
      <c r="AX62">
        <v>44.797467240000003</v>
      </c>
      <c r="AY62">
        <v>-68.760575759999995</v>
      </c>
      <c r="AZ62">
        <v>9</v>
      </c>
      <c r="BA62" t="s">
        <v>601</v>
      </c>
      <c r="BB62" t="s">
        <v>501</v>
      </c>
      <c r="BC62">
        <v>4041934</v>
      </c>
      <c r="BD62">
        <v>4</v>
      </c>
      <c r="BE62" t="s">
        <v>502</v>
      </c>
      <c r="BF62" t="s">
        <v>503</v>
      </c>
      <c r="BG62" t="s">
        <v>504</v>
      </c>
      <c r="BH62" t="s">
        <v>560</v>
      </c>
      <c r="BI62">
        <v>191593</v>
      </c>
      <c r="BJ62">
        <v>0.02</v>
      </c>
    </row>
    <row r="63" spans="1:62" x14ac:dyDescent="0.35">
      <c r="A63" t="s">
        <v>477</v>
      </c>
      <c r="B63" t="s">
        <v>769</v>
      </c>
      <c r="C63" s="292">
        <v>44103</v>
      </c>
      <c r="D63" t="s">
        <v>479</v>
      </c>
      <c r="E63" t="s">
        <v>541</v>
      </c>
      <c r="F63" t="s">
        <v>691</v>
      </c>
      <c r="G63">
        <v>2020</v>
      </c>
      <c r="H63" t="s">
        <v>396</v>
      </c>
      <c r="I63" t="s">
        <v>482</v>
      </c>
      <c r="J63" t="s">
        <v>629</v>
      </c>
      <c r="K63" t="s">
        <v>770</v>
      </c>
      <c r="L63" t="s">
        <v>485</v>
      </c>
      <c r="M63" t="s">
        <v>563</v>
      </c>
      <c r="T63" t="s">
        <v>489</v>
      </c>
      <c r="U63" t="s">
        <v>490</v>
      </c>
      <c r="V63">
        <v>10.32</v>
      </c>
      <c r="W63">
        <v>2</v>
      </c>
      <c r="X63">
        <v>12872</v>
      </c>
      <c r="Y63">
        <v>25</v>
      </c>
      <c r="Z63" t="s">
        <v>491</v>
      </c>
      <c r="AA63" t="s">
        <v>491</v>
      </c>
      <c r="AB63" t="s">
        <v>491</v>
      </c>
      <c r="AC63" t="s">
        <v>491</v>
      </c>
      <c r="AD63" t="s">
        <v>492</v>
      </c>
      <c r="AE63" t="s">
        <v>492</v>
      </c>
      <c r="AF63">
        <v>1</v>
      </c>
      <c r="AG63">
        <v>1</v>
      </c>
      <c r="AH63">
        <v>0</v>
      </c>
      <c r="AI63">
        <v>0</v>
      </c>
      <c r="AJ63">
        <v>0</v>
      </c>
      <c r="AK63">
        <v>0</v>
      </c>
      <c r="AL63">
        <v>0</v>
      </c>
      <c r="AM63">
        <v>0</v>
      </c>
      <c r="AN63" t="s">
        <v>493</v>
      </c>
      <c r="AO63" t="s">
        <v>494</v>
      </c>
      <c r="AP63">
        <v>10</v>
      </c>
      <c r="AQ63" t="s">
        <v>396</v>
      </c>
      <c r="AR63" t="s">
        <v>558</v>
      </c>
      <c r="AS63">
        <v>3</v>
      </c>
      <c r="AT63" t="s">
        <v>497</v>
      </c>
      <c r="AU63" t="s">
        <v>769</v>
      </c>
      <c r="AV63" t="s">
        <v>498</v>
      </c>
      <c r="AW63" t="s">
        <v>771</v>
      </c>
      <c r="AX63">
        <v>44.797395989999998</v>
      </c>
      <c r="AY63">
        <v>-68.760709070000004</v>
      </c>
      <c r="AZ63">
        <v>9</v>
      </c>
      <c r="BA63" t="s">
        <v>601</v>
      </c>
      <c r="BB63" t="s">
        <v>501</v>
      </c>
      <c r="BC63">
        <v>4041934</v>
      </c>
      <c r="BD63">
        <v>4</v>
      </c>
      <c r="BE63" t="s">
        <v>502</v>
      </c>
      <c r="BF63" t="s">
        <v>503</v>
      </c>
      <c r="BG63" t="s">
        <v>504</v>
      </c>
      <c r="BH63" t="s">
        <v>560</v>
      </c>
      <c r="BI63">
        <v>191607</v>
      </c>
      <c r="BJ63">
        <v>0.03</v>
      </c>
    </row>
    <row r="64" spans="1:62" x14ac:dyDescent="0.35">
      <c r="A64" t="s">
        <v>477</v>
      </c>
      <c r="B64" t="s">
        <v>773</v>
      </c>
      <c r="C64" s="292">
        <v>44153</v>
      </c>
      <c r="D64" t="s">
        <v>479</v>
      </c>
      <c r="E64" t="s">
        <v>574</v>
      </c>
      <c r="F64" t="s">
        <v>774</v>
      </c>
      <c r="G64">
        <v>2020</v>
      </c>
      <c r="H64" t="s">
        <v>396</v>
      </c>
      <c r="I64" t="s">
        <v>482</v>
      </c>
      <c r="J64" t="s">
        <v>510</v>
      </c>
      <c r="K64" t="s">
        <v>484</v>
      </c>
      <c r="L64" t="s">
        <v>485</v>
      </c>
      <c r="M64" t="s">
        <v>486</v>
      </c>
      <c r="O64" t="s">
        <v>511</v>
      </c>
      <c r="Q64" t="s">
        <v>488</v>
      </c>
      <c r="S64">
        <v>39112</v>
      </c>
      <c r="T64" t="s">
        <v>489</v>
      </c>
      <c r="U64" t="s">
        <v>490</v>
      </c>
      <c r="V64">
        <v>10.35</v>
      </c>
      <c r="W64">
        <v>2</v>
      </c>
      <c r="X64">
        <v>12554</v>
      </c>
      <c r="Z64" t="s">
        <v>491</v>
      </c>
      <c r="AA64" t="s">
        <v>491</v>
      </c>
      <c r="AB64" t="s">
        <v>491</v>
      </c>
      <c r="AC64" t="s">
        <v>491</v>
      </c>
      <c r="AD64" t="s">
        <v>492</v>
      </c>
      <c r="AE64" t="s">
        <v>492</v>
      </c>
      <c r="AF64">
        <v>2</v>
      </c>
      <c r="AG64">
        <v>4</v>
      </c>
      <c r="AH64">
        <v>1</v>
      </c>
      <c r="AI64">
        <v>0</v>
      </c>
      <c r="AJ64">
        <v>0</v>
      </c>
      <c r="AK64">
        <v>0</v>
      </c>
      <c r="AL64">
        <v>1</v>
      </c>
      <c r="AM64">
        <v>3</v>
      </c>
      <c r="AN64" t="s">
        <v>519</v>
      </c>
      <c r="AO64" t="s">
        <v>494</v>
      </c>
      <c r="AP64">
        <v>13</v>
      </c>
      <c r="AQ64" t="s">
        <v>396</v>
      </c>
      <c r="AR64" t="s">
        <v>496</v>
      </c>
      <c r="AS64">
        <v>4</v>
      </c>
      <c r="AT64" t="s">
        <v>497</v>
      </c>
      <c r="AU64" t="s">
        <v>773</v>
      </c>
      <c r="AV64" t="s">
        <v>498</v>
      </c>
      <c r="AW64" t="s">
        <v>775</v>
      </c>
      <c r="AX64">
        <v>44.797687420000003</v>
      </c>
      <c r="AY64">
        <v>-68.760163789999993</v>
      </c>
      <c r="AZ64">
        <v>11</v>
      </c>
      <c r="BA64" t="s">
        <v>551</v>
      </c>
      <c r="BB64" t="s">
        <v>501</v>
      </c>
      <c r="BC64">
        <v>3132103</v>
      </c>
      <c r="BD64">
        <v>4</v>
      </c>
      <c r="BE64" t="s">
        <v>502</v>
      </c>
      <c r="BF64" t="s">
        <v>503</v>
      </c>
      <c r="BG64" t="s">
        <v>504</v>
      </c>
      <c r="BH64" t="s">
        <v>505</v>
      </c>
      <c r="BI64">
        <v>196402</v>
      </c>
      <c r="BJ64">
        <v>0</v>
      </c>
    </row>
    <row r="65" spans="1:62" x14ac:dyDescent="0.35">
      <c r="A65" t="s">
        <v>477</v>
      </c>
      <c r="B65" t="s">
        <v>776</v>
      </c>
      <c r="C65" s="292">
        <v>45104</v>
      </c>
      <c r="D65" t="s">
        <v>479</v>
      </c>
      <c r="E65" t="s">
        <v>541</v>
      </c>
      <c r="F65" t="s">
        <v>777</v>
      </c>
      <c r="G65">
        <v>2023</v>
      </c>
      <c r="H65" t="s">
        <v>396</v>
      </c>
      <c r="I65" t="s">
        <v>482</v>
      </c>
      <c r="J65" t="s">
        <v>510</v>
      </c>
      <c r="K65" t="s">
        <v>556</v>
      </c>
      <c r="L65" t="s">
        <v>526</v>
      </c>
      <c r="M65" t="s">
        <v>486</v>
      </c>
      <c r="O65" t="s">
        <v>488</v>
      </c>
      <c r="Q65" t="s">
        <v>488</v>
      </c>
      <c r="T65" t="s">
        <v>489</v>
      </c>
      <c r="U65" t="s">
        <v>490</v>
      </c>
      <c r="V65">
        <v>10.34</v>
      </c>
      <c r="W65">
        <v>2</v>
      </c>
      <c r="X65">
        <v>12872</v>
      </c>
      <c r="Y65">
        <v>25</v>
      </c>
      <c r="Z65" t="s">
        <v>491</v>
      </c>
      <c r="AA65" t="s">
        <v>491</v>
      </c>
      <c r="AC65" t="s">
        <v>491</v>
      </c>
      <c r="AD65" t="s">
        <v>492</v>
      </c>
      <c r="AE65" t="s">
        <v>492</v>
      </c>
      <c r="AF65">
        <v>2</v>
      </c>
      <c r="AG65">
        <v>4</v>
      </c>
      <c r="AH65">
        <v>0</v>
      </c>
      <c r="AI65">
        <v>0</v>
      </c>
      <c r="AJ65">
        <v>0</v>
      </c>
      <c r="AK65">
        <v>0</v>
      </c>
      <c r="AL65">
        <v>0</v>
      </c>
      <c r="AM65">
        <v>4</v>
      </c>
      <c r="AN65" t="s">
        <v>493</v>
      </c>
      <c r="AO65" t="s">
        <v>494</v>
      </c>
      <c r="AP65">
        <v>8</v>
      </c>
      <c r="AQ65" t="s">
        <v>396</v>
      </c>
      <c r="AR65" t="s">
        <v>558</v>
      </c>
      <c r="AS65">
        <v>3</v>
      </c>
      <c r="AT65" t="s">
        <v>497</v>
      </c>
      <c r="AU65" t="s">
        <v>776</v>
      </c>
      <c r="AV65" t="s">
        <v>498</v>
      </c>
      <c r="AW65" t="s">
        <v>778</v>
      </c>
      <c r="AX65">
        <v>44.797620860000002</v>
      </c>
      <c r="AY65">
        <v>-68.760288320000001</v>
      </c>
      <c r="AZ65">
        <v>6</v>
      </c>
      <c r="BA65" t="s">
        <v>544</v>
      </c>
      <c r="BB65" t="s">
        <v>501</v>
      </c>
      <c r="BC65">
        <v>4041934</v>
      </c>
      <c r="BD65">
        <v>4</v>
      </c>
      <c r="BE65" t="s">
        <v>502</v>
      </c>
      <c r="BF65" t="s">
        <v>503</v>
      </c>
      <c r="BG65" t="s">
        <v>504</v>
      </c>
      <c r="BH65" t="s">
        <v>560</v>
      </c>
      <c r="BI65">
        <v>200176</v>
      </c>
      <c r="BJ65">
        <v>0.01</v>
      </c>
    </row>
    <row r="66" spans="1:62" x14ac:dyDescent="0.35">
      <c r="A66" t="s">
        <v>477</v>
      </c>
      <c r="B66" t="s">
        <v>779</v>
      </c>
      <c r="C66" s="292">
        <v>44575</v>
      </c>
      <c r="D66" t="s">
        <v>479</v>
      </c>
      <c r="E66" t="s">
        <v>549</v>
      </c>
      <c r="F66" t="s">
        <v>780</v>
      </c>
      <c r="G66">
        <v>2022</v>
      </c>
      <c r="H66" t="s">
        <v>396</v>
      </c>
      <c r="I66" t="s">
        <v>532</v>
      </c>
      <c r="J66" t="s">
        <v>510</v>
      </c>
      <c r="K66" t="s">
        <v>484</v>
      </c>
      <c r="L66" t="s">
        <v>485</v>
      </c>
      <c r="M66" t="s">
        <v>486</v>
      </c>
      <c r="N66" t="s">
        <v>487</v>
      </c>
      <c r="O66" t="s">
        <v>511</v>
      </c>
      <c r="Q66" t="s">
        <v>488</v>
      </c>
      <c r="S66">
        <v>39690</v>
      </c>
      <c r="T66" t="s">
        <v>489</v>
      </c>
      <c r="U66" t="s">
        <v>490</v>
      </c>
      <c r="V66">
        <v>10.28</v>
      </c>
      <c r="W66">
        <v>1</v>
      </c>
      <c r="X66">
        <v>22335.5</v>
      </c>
      <c r="Z66" t="s">
        <v>491</v>
      </c>
      <c r="AA66" t="s">
        <v>491</v>
      </c>
      <c r="AB66" t="s">
        <v>491</v>
      </c>
      <c r="AC66" t="s">
        <v>491</v>
      </c>
      <c r="AD66" t="s">
        <v>492</v>
      </c>
      <c r="AE66" t="s">
        <v>492</v>
      </c>
      <c r="AF66">
        <v>2</v>
      </c>
      <c r="AG66">
        <v>3</v>
      </c>
      <c r="AH66">
        <v>0</v>
      </c>
      <c r="AI66">
        <v>0</v>
      </c>
      <c r="AJ66">
        <v>0</v>
      </c>
      <c r="AK66">
        <v>0</v>
      </c>
      <c r="AL66">
        <v>0</v>
      </c>
      <c r="AM66">
        <v>3</v>
      </c>
      <c r="AN66" t="s">
        <v>493</v>
      </c>
      <c r="AO66" t="s">
        <v>494</v>
      </c>
      <c r="AP66">
        <v>20</v>
      </c>
      <c r="AQ66" t="s">
        <v>495</v>
      </c>
      <c r="AR66" t="s">
        <v>496</v>
      </c>
      <c r="AS66">
        <v>6</v>
      </c>
      <c r="AT66" t="s">
        <v>497</v>
      </c>
      <c r="AU66" t="s">
        <v>781</v>
      </c>
      <c r="AV66" t="s">
        <v>498</v>
      </c>
      <c r="AW66" t="s">
        <v>782</v>
      </c>
      <c r="AX66">
        <v>44.797049999999999</v>
      </c>
      <c r="AY66">
        <v>-68.761350000000007</v>
      </c>
      <c r="AZ66">
        <v>1</v>
      </c>
      <c r="BA66" t="s">
        <v>514</v>
      </c>
      <c r="BB66" t="s">
        <v>501</v>
      </c>
      <c r="BC66">
        <v>4041936</v>
      </c>
      <c r="BD66">
        <v>4</v>
      </c>
      <c r="BE66" t="s">
        <v>502</v>
      </c>
      <c r="BF66" t="s">
        <v>503</v>
      </c>
      <c r="BG66" t="s">
        <v>504</v>
      </c>
      <c r="BH66" t="s">
        <v>505</v>
      </c>
      <c r="BI66">
        <v>204592</v>
      </c>
      <c r="BJ66">
        <v>0</v>
      </c>
    </row>
    <row r="67" spans="1:62" x14ac:dyDescent="0.35">
      <c r="A67" t="s">
        <v>477</v>
      </c>
      <c r="B67" t="s">
        <v>783</v>
      </c>
      <c r="C67" s="292">
        <v>44459</v>
      </c>
      <c r="D67" t="s">
        <v>479</v>
      </c>
      <c r="E67" t="s">
        <v>523</v>
      </c>
      <c r="F67" t="s">
        <v>784</v>
      </c>
      <c r="G67">
        <v>2021</v>
      </c>
      <c r="H67" t="s">
        <v>396</v>
      </c>
      <c r="I67" t="s">
        <v>482</v>
      </c>
      <c r="J67" t="s">
        <v>510</v>
      </c>
      <c r="K67" t="s">
        <v>525</v>
      </c>
      <c r="L67" t="s">
        <v>485</v>
      </c>
      <c r="M67" t="s">
        <v>486</v>
      </c>
      <c r="N67" t="s">
        <v>487</v>
      </c>
      <c r="O67" t="s">
        <v>564</v>
      </c>
      <c r="Q67" t="s">
        <v>488</v>
      </c>
      <c r="S67">
        <v>39690</v>
      </c>
      <c r="T67" t="s">
        <v>489</v>
      </c>
      <c r="U67" t="s">
        <v>490</v>
      </c>
      <c r="V67">
        <v>10.28</v>
      </c>
      <c r="W67">
        <v>1</v>
      </c>
      <c r="X67">
        <v>22335.5</v>
      </c>
      <c r="Z67" t="s">
        <v>491</v>
      </c>
      <c r="AA67" t="s">
        <v>491</v>
      </c>
      <c r="AB67" t="s">
        <v>491</v>
      </c>
      <c r="AC67" t="s">
        <v>491</v>
      </c>
      <c r="AD67" t="s">
        <v>492</v>
      </c>
      <c r="AE67" t="s">
        <v>492</v>
      </c>
      <c r="AF67">
        <v>2</v>
      </c>
      <c r="AG67">
        <v>2</v>
      </c>
      <c r="AH67">
        <v>1</v>
      </c>
      <c r="AI67">
        <v>0</v>
      </c>
      <c r="AJ67">
        <v>0</v>
      </c>
      <c r="AK67">
        <v>0</v>
      </c>
      <c r="AL67">
        <v>1</v>
      </c>
      <c r="AM67">
        <v>1</v>
      </c>
      <c r="AN67" t="s">
        <v>519</v>
      </c>
      <c r="AO67" t="s">
        <v>494</v>
      </c>
      <c r="AP67">
        <v>6</v>
      </c>
      <c r="AQ67" t="s">
        <v>527</v>
      </c>
      <c r="AR67" t="s">
        <v>496</v>
      </c>
      <c r="AS67">
        <v>2</v>
      </c>
      <c r="AT67" t="s">
        <v>497</v>
      </c>
      <c r="AU67" t="s">
        <v>783</v>
      </c>
      <c r="AV67" t="s">
        <v>498</v>
      </c>
      <c r="AW67" t="s">
        <v>785</v>
      </c>
      <c r="AX67">
        <v>44.797342489999998</v>
      </c>
      <c r="AY67">
        <v>-68.761545810000001</v>
      </c>
      <c r="AZ67">
        <v>9</v>
      </c>
      <c r="BA67" t="s">
        <v>601</v>
      </c>
      <c r="BB67" t="s">
        <v>501</v>
      </c>
      <c r="BC67">
        <v>4041936</v>
      </c>
      <c r="BD67">
        <v>4</v>
      </c>
      <c r="BE67" t="s">
        <v>502</v>
      </c>
      <c r="BF67" t="s">
        <v>503</v>
      </c>
      <c r="BG67" t="s">
        <v>504</v>
      </c>
      <c r="BH67" t="s">
        <v>505</v>
      </c>
      <c r="BI67">
        <v>206254</v>
      </c>
      <c r="BJ67">
        <v>0</v>
      </c>
    </row>
    <row r="68" spans="1:62" x14ac:dyDescent="0.35">
      <c r="A68" t="s">
        <v>477</v>
      </c>
      <c r="B68" t="s">
        <v>786</v>
      </c>
      <c r="C68" s="292">
        <v>44359</v>
      </c>
      <c r="D68" t="s">
        <v>479</v>
      </c>
      <c r="E68" t="s">
        <v>552</v>
      </c>
      <c r="F68" t="s">
        <v>787</v>
      </c>
      <c r="G68">
        <v>2021</v>
      </c>
      <c r="H68" t="s">
        <v>396</v>
      </c>
      <c r="I68" t="s">
        <v>482</v>
      </c>
      <c r="J68" t="s">
        <v>645</v>
      </c>
      <c r="K68" t="s">
        <v>484</v>
      </c>
      <c r="L68" t="s">
        <v>485</v>
      </c>
      <c r="M68" t="s">
        <v>486</v>
      </c>
      <c r="N68" t="s">
        <v>487</v>
      </c>
      <c r="O68" t="s">
        <v>586</v>
      </c>
      <c r="S68">
        <v>39690</v>
      </c>
      <c r="T68" t="s">
        <v>489</v>
      </c>
      <c r="U68" t="s">
        <v>490</v>
      </c>
      <c r="V68">
        <v>10.28</v>
      </c>
      <c r="W68">
        <v>1</v>
      </c>
      <c r="X68">
        <v>22335.5</v>
      </c>
      <c r="Z68" t="s">
        <v>491</v>
      </c>
      <c r="AA68" t="s">
        <v>491</v>
      </c>
      <c r="AB68" t="s">
        <v>491</v>
      </c>
      <c r="AC68" t="s">
        <v>646</v>
      </c>
      <c r="AD68" t="s">
        <v>492</v>
      </c>
      <c r="AE68" t="s">
        <v>492</v>
      </c>
      <c r="AF68">
        <v>1</v>
      </c>
      <c r="AG68">
        <v>2</v>
      </c>
      <c r="AH68">
        <v>1</v>
      </c>
      <c r="AI68">
        <v>0</v>
      </c>
      <c r="AJ68">
        <v>0</v>
      </c>
      <c r="AK68">
        <v>0</v>
      </c>
      <c r="AL68">
        <v>1</v>
      </c>
      <c r="AM68">
        <v>1</v>
      </c>
      <c r="AN68" t="s">
        <v>519</v>
      </c>
      <c r="AO68" t="s">
        <v>494</v>
      </c>
      <c r="AP68">
        <v>19</v>
      </c>
      <c r="AQ68" t="s">
        <v>495</v>
      </c>
      <c r="AR68" t="s">
        <v>496</v>
      </c>
      <c r="AS68">
        <v>7</v>
      </c>
      <c r="AT68" t="s">
        <v>497</v>
      </c>
      <c r="AU68" t="s">
        <v>786</v>
      </c>
      <c r="AV68" t="s">
        <v>498</v>
      </c>
      <c r="AW68" t="s">
        <v>788</v>
      </c>
      <c r="AX68">
        <v>44.797049169999987</v>
      </c>
      <c r="AY68">
        <v>-68.761350610000008</v>
      </c>
      <c r="AZ68">
        <v>6</v>
      </c>
      <c r="BA68" t="s">
        <v>544</v>
      </c>
      <c r="BB68" t="s">
        <v>501</v>
      </c>
      <c r="BC68">
        <v>4041936</v>
      </c>
      <c r="BD68">
        <v>4</v>
      </c>
      <c r="BE68" t="s">
        <v>502</v>
      </c>
      <c r="BF68" t="s">
        <v>503</v>
      </c>
      <c r="BG68" t="s">
        <v>504</v>
      </c>
      <c r="BH68" t="s">
        <v>505</v>
      </c>
      <c r="BI68">
        <v>215142</v>
      </c>
      <c r="BJ68">
        <v>0</v>
      </c>
    </row>
    <row r="69" spans="1:62" x14ac:dyDescent="0.35">
      <c r="A69" t="s">
        <v>477</v>
      </c>
      <c r="B69" t="s">
        <v>789</v>
      </c>
      <c r="C69" s="292">
        <v>43425</v>
      </c>
      <c r="D69" t="s">
        <v>479</v>
      </c>
      <c r="E69" t="s">
        <v>574</v>
      </c>
      <c r="F69" t="s">
        <v>790</v>
      </c>
      <c r="G69">
        <v>2018</v>
      </c>
      <c r="H69" t="s">
        <v>396</v>
      </c>
      <c r="I69" t="s">
        <v>482</v>
      </c>
      <c r="J69" t="s">
        <v>510</v>
      </c>
      <c r="K69" t="s">
        <v>484</v>
      </c>
      <c r="L69" t="s">
        <v>526</v>
      </c>
      <c r="M69" t="s">
        <v>486</v>
      </c>
      <c r="N69" t="s">
        <v>487</v>
      </c>
      <c r="O69" t="s">
        <v>609</v>
      </c>
      <c r="Q69" t="s">
        <v>488</v>
      </c>
      <c r="S69">
        <v>39690</v>
      </c>
      <c r="T69" t="s">
        <v>489</v>
      </c>
      <c r="U69" t="s">
        <v>490</v>
      </c>
      <c r="V69">
        <v>10.28</v>
      </c>
      <c r="W69">
        <v>1</v>
      </c>
      <c r="X69">
        <v>22335.5</v>
      </c>
      <c r="Z69" t="s">
        <v>491</v>
      </c>
      <c r="AA69" t="s">
        <v>491</v>
      </c>
      <c r="AB69" t="s">
        <v>491</v>
      </c>
      <c r="AC69" t="s">
        <v>491</v>
      </c>
      <c r="AD69" t="s">
        <v>492</v>
      </c>
      <c r="AE69" t="s">
        <v>492</v>
      </c>
      <c r="AF69">
        <v>2</v>
      </c>
      <c r="AG69">
        <v>4</v>
      </c>
      <c r="AH69">
        <v>0</v>
      </c>
      <c r="AI69">
        <v>0</v>
      </c>
      <c r="AJ69">
        <v>0</v>
      </c>
      <c r="AK69">
        <v>0</v>
      </c>
      <c r="AL69">
        <v>0</v>
      </c>
      <c r="AM69">
        <v>4</v>
      </c>
      <c r="AN69" t="s">
        <v>493</v>
      </c>
      <c r="AO69" t="s">
        <v>494</v>
      </c>
      <c r="AP69">
        <v>8</v>
      </c>
      <c r="AQ69" t="s">
        <v>495</v>
      </c>
      <c r="AR69" t="s">
        <v>496</v>
      </c>
      <c r="AS69">
        <v>4</v>
      </c>
      <c r="AT69" t="s">
        <v>497</v>
      </c>
      <c r="AU69" t="s">
        <v>789</v>
      </c>
      <c r="AV69" t="s">
        <v>498</v>
      </c>
      <c r="AW69" t="s">
        <v>791</v>
      </c>
      <c r="AX69">
        <v>44.797049169999987</v>
      </c>
      <c r="AY69">
        <v>-68.761350610000008</v>
      </c>
      <c r="AZ69">
        <v>11</v>
      </c>
      <c r="BA69" t="s">
        <v>551</v>
      </c>
      <c r="BB69" t="s">
        <v>501</v>
      </c>
      <c r="BC69">
        <v>4041936</v>
      </c>
      <c r="BD69">
        <v>4</v>
      </c>
      <c r="BE69" t="s">
        <v>502</v>
      </c>
      <c r="BF69" t="s">
        <v>503</v>
      </c>
      <c r="BG69" t="s">
        <v>504</v>
      </c>
      <c r="BH69" t="s">
        <v>505</v>
      </c>
      <c r="BI69">
        <v>219311</v>
      </c>
      <c r="BJ69">
        <v>0</v>
      </c>
    </row>
    <row r="70" spans="1:62" x14ac:dyDescent="0.35">
      <c r="A70" t="s">
        <v>477</v>
      </c>
      <c r="B70" t="s">
        <v>792</v>
      </c>
      <c r="C70" s="292">
        <v>44074</v>
      </c>
      <c r="D70" t="s">
        <v>479</v>
      </c>
      <c r="E70" t="s">
        <v>523</v>
      </c>
      <c r="F70" t="s">
        <v>793</v>
      </c>
      <c r="G70">
        <v>2020</v>
      </c>
      <c r="H70" t="s">
        <v>396</v>
      </c>
      <c r="I70" t="s">
        <v>794</v>
      </c>
      <c r="J70" t="s">
        <v>483</v>
      </c>
      <c r="K70" t="s">
        <v>484</v>
      </c>
      <c r="L70" t="s">
        <v>485</v>
      </c>
      <c r="M70" t="s">
        <v>486</v>
      </c>
      <c r="N70" t="s">
        <v>487</v>
      </c>
      <c r="O70" t="s">
        <v>553</v>
      </c>
      <c r="Q70" t="s">
        <v>488</v>
      </c>
      <c r="S70">
        <v>39112</v>
      </c>
      <c r="T70" t="s">
        <v>489</v>
      </c>
      <c r="U70" t="s">
        <v>490</v>
      </c>
      <c r="V70">
        <v>10.35</v>
      </c>
      <c r="W70">
        <v>2</v>
      </c>
      <c r="X70">
        <v>12554</v>
      </c>
      <c r="Z70" t="s">
        <v>491</v>
      </c>
      <c r="AA70" t="s">
        <v>491</v>
      </c>
      <c r="AB70" t="s">
        <v>491</v>
      </c>
      <c r="AC70" t="s">
        <v>491</v>
      </c>
      <c r="AD70" t="s">
        <v>492</v>
      </c>
      <c r="AE70" t="s">
        <v>492</v>
      </c>
      <c r="AF70">
        <v>2</v>
      </c>
      <c r="AG70">
        <v>2</v>
      </c>
      <c r="AH70">
        <v>0</v>
      </c>
      <c r="AI70">
        <v>0</v>
      </c>
      <c r="AJ70">
        <v>0</v>
      </c>
      <c r="AK70">
        <v>0</v>
      </c>
      <c r="AL70">
        <v>0</v>
      </c>
      <c r="AM70">
        <v>2</v>
      </c>
      <c r="AN70" t="s">
        <v>493</v>
      </c>
      <c r="AO70" t="s">
        <v>494</v>
      </c>
      <c r="AP70">
        <v>5</v>
      </c>
      <c r="AQ70" t="s">
        <v>795</v>
      </c>
      <c r="AR70" t="s">
        <v>496</v>
      </c>
      <c r="AS70">
        <v>2</v>
      </c>
      <c r="AT70" t="s">
        <v>497</v>
      </c>
      <c r="AU70" t="s">
        <v>792</v>
      </c>
      <c r="AV70" t="s">
        <v>498</v>
      </c>
      <c r="AW70" t="s">
        <v>796</v>
      </c>
      <c r="AX70">
        <v>44.797687420000003</v>
      </c>
      <c r="AY70">
        <v>-68.760163789999993</v>
      </c>
      <c r="AZ70">
        <v>8</v>
      </c>
      <c r="BA70" t="s">
        <v>667</v>
      </c>
      <c r="BB70" t="s">
        <v>501</v>
      </c>
      <c r="BC70">
        <v>3132103</v>
      </c>
      <c r="BD70">
        <v>4</v>
      </c>
      <c r="BE70" t="s">
        <v>502</v>
      </c>
      <c r="BF70" t="s">
        <v>503</v>
      </c>
      <c r="BG70" t="s">
        <v>504</v>
      </c>
      <c r="BH70" t="s">
        <v>505</v>
      </c>
      <c r="BI70">
        <v>219799</v>
      </c>
      <c r="BJ70">
        <v>0</v>
      </c>
    </row>
    <row r="71" spans="1:62" x14ac:dyDescent="0.35">
      <c r="A71" t="s">
        <v>477</v>
      </c>
      <c r="B71" t="s">
        <v>797</v>
      </c>
      <c r="C71" s="292">
        <v>44092</v>
      </c>
      <c r="D71" t="s">
        <v>479</v>
      </c>
      <c r="E71" t="s">
        <v>549</v>
      </c>
      <c r="F71" t="s">
        <v>798</v>
      </c>
      <c r="G71">
        <v>2020</v>
      </c>
      <c r="H71" t="s">
        <v>396</v>
      </c>
      <c r="I71" t="s">
        <v>482</v>
      </c>
      <c r="J71" t="s">
        <v>510</v>
      </c>
      <c r="K71" t="s">
        <v>556</v>
      </c>
      <c r="L71" t="s">
        <v>485</v>
      </c>
      <c r="M71" t="s">
        <v>486</v>
      </c>
      <c r="O71" t="s">
        <v>496</v>
      </c>
      <c r="Q71" t="s">
        <v>488</v>
      </c>
      <c r="T71" t="s">
        <v>489</v>
      </c>
      <c r="U71" t="s">
        <v>490</v>
      </c>
      <c r="V71">
        <v>10.33</v>
      </c>
      <c r="W71">
        <v>2</v>
      </c>
      <c r="X71">
        <v>12872</v>
      </c>
      <c r="Y71">
        <v>25</v>
      </c>
      <c r="Z71" t="s">
        <v>491</v>
      </c>
      <c r="AA71" t="s">
        <v>491</v>
      </c>
      <c r="AB71" t="s">
        <v>491</v>
      </c>
      <c r="AC71" t="s">
        <v>491</v>
      </c>
      <c r="AD71" t="s">
        <v>492</v>
      </c>
      <c r="AE71" t="s">
        <v>492</v>
      </c>
      <c r="AF71">
        <v>2</v>
      </c>
      <c r="AG71">
        <v>3</v>
      </c>
      <c r="AH71">
        <v>0</v>
      </c>
      <c r="AI71">
        <v>0</v>
      </c>
      <c r="AJ71">
        <v>0</v>
      </c>
      <c r="AK71">
        <v>0</v>
      </c>
      <c r="AL71">
        <v>0</v>
      </c>
      <c r="AM71">
        <v>3</v>
      </c>
      <c r="AN71" t="s">
        <v>493</v>
      </c>
      <c r="AO71" t="s">
        <v>494</v>
      </c>
      <c r="AP71">
        <v>16</v>
      </c>
      <c r="AQ71" t="s">
        <v>396</v>
      </c>
      <c r="AR71" t="s">
        <v>558</v>
      </c>
      <c r="AS71">
        <v>6</v>
      </c>
      <c r="AT71" t="s">
        <v>497</v>
      </c>
      <c r="AU71" t="s">
        <v>797</v>
      </c>
      <c r="AV71" t="s">
        <v>498</v>
      </c>
      <c r="AW71" t="s">
        <v>799</v>
      </c>
      <c r="AX71">
        <v>44.797504480000001</v>
      </c>
      <c r="AY71">
        <v>-68.760506079999999</v>
      </c>
      <c r="AZ71">
        <v>9</v>
      </c>
      <c r="BA71" t="s">
        <v>601</v>
      </c>
      <c r="BB71" t="s">
        <v>501</v>
      </c>
      <c r="BC71">
        <v>4041934</v>
      </c>
      <c r="BD71">
        <v>4</v>
      </c>
      <c r="BE71" t="s">
        <v>502</v>
      </c>
      <c r="BF71" t="s">
        <v>503</v>
      </c>
      <c r="BG71" t="s">
        <v>504</v>
      </c>
      <c r="BH71" t="s">
        <v>560</v>
      </c>
      <c r="BI71">
        <v>220256</v>
      </c>
      <c r="BJ71">
        <v>0.02</v>
      </c>
    </row>
    <row r="72" spans="1:62" x14ac:dyDescent="0.35">
      <c r="A72" t="s">
        <v>477</v>
      </c>
      <c r="B72" t="s">
        <v>800</v>
      </c>
      <c r="C72" s="292">
        <v>45169</v>
      </c>
      <c r="D72" t="s">
        <v>479</v>
      </c>
      <c r="E72" t="s">
        <v>801</v>
      </c>
      <c r="F72" t="s">
        <v>802</v>
      </c>
      <c r="G72">
        <v>2023</v>
      </c>
      <c r="H72" t="s">
        <v>396</v>
      </c>
      <c r="I72" t="s">
        <v>532</v>
      </c>
      <c r="J72" t="s">
        <v>629</v>
      </c>
      <c r="K72" t="s">
        <v>556</v>
      </c>
      <c r="L72" t="s">
        <v>485</v>
      </c>
      <c r="M72" t="s">
        <v>486</v>
      </c>
      <c r="O72" t="s">
        <v>653</v>
      </c>
      <c r="T72" t="s">
        <v>489</v>
      </c>
      <c r="U72" t="s">
        <v>490</v>
      </c>
      <c r="V72">
        <v>10.32</v>
      </c>
      <c r="W72">
        <v>2</v>
      </c>
      <c r="X72">
        <v>12872</v>
      </c>
      <c r="Y72">
        <v>25</v>
      </c>
      <c r="Z72" t="s">
        <v>491</v>
      </c>
      <c r="AA72" t="s">
        <v>491</v>
      </c>
      <c r="AC72" t="s">
        <v>491</v>
      </c>
      <c r="AD72" t="s">
        <v>492</v>
      </c>
      <c r="AE72" t="s">
        <v>492</v>
      </c>
      <c r="AF72">
        <v>1</v>
      </c>
      <c r="AG72">
        <v>1</v>
      </c>
      <c r="AH72">
        <v>0</v>
      </c>
      <c r="AI72">
        <v>0</v>
      </c>
      <c r="AJ72">
        <v>0</v>
      </c>
      <c r="AK72">
        <v>0</v>
      </c>
      <c r="AL72">
        <v>0</v>
      </c>
      <c r="AM72">
        <v>1</v>
      </c>
      <c r="AN72" t="s">
        <v>493</v>
      </c>
      <c r="AO72" t="s">
        <v>494</v>
      </c>
      <c r="AP72">
        <v>4</v>
      </c>
      <c r="AQ72" t="s">
        <v>396</v>
      </c>
      <c r="AR72" t="s">
        <v>558</v>
      </c>
      <c r="AS72">
        <v>5</v>
      </c>
      <c r="AT72" t="s">
        <v>497</v>
      </c>
      <c r="AU72" t="s">
        <v>800</v>
      </c>
      <c r="AV72" t="s">
        <v>498</v>
      </c>
      <c r="AW72" t="s">
        <v>803</v>
      </c>
      <c r="AX72">
        <v>44.797441399999997</v>
      </c>
      <c r="AY72">
        <v>-68.760624109999995</v>
      </c>
      <c r="AZ72">
        <v>8</v>
      </c>
      <c r="BA72" t="s">
        <v>667</v>
      </c>
      <c r="BB72" t="s">
        <v>501</v>
      </c>
      <c r="BC72">
        <v>4041934</v>
      </c>
      <c r="BD72">
        <v>4</v>
      </c>
      <c r="BE72" t="s">
        <v>502</v>
      </c>
      <c r="BF72" t="s">
        <v>503</v>
      </c>
      <c r="BG72" t="s">
        <v>504</v>
      </c>
      <c r="BH72" t="s">
        <v>560</v>
      </c>
      <c r="BI72">
        <v>221347</v>
      </c>
      <c r="BJ72">
        <v>0.03</v>
      </c>
    </row>
    <row r="73" spans="1:62" x14ac:dyDescent="0.35">
      <c r="A73" t="s">
        <v>477</v>
      </c>
      <c r="B73" t="s">
        <v>804</v>
      </c>
      <c r="C73" s="292">
        <v>45152</v>
      </c>
      <c r="D73" t="s">
        <v>479</v>
      </c>
      <c r="E73" t="s">
        <v>536</v>
      </c>
      <c r="F73" t="s">
        <v>644</v>
      </c>
      <c r="G73">
        <v>2023</v>
      </c>
      <c r="H73" t="s">
        <v>396</v>
      </c>
      <c r="I73" t="s">
        <v>482</v>
      </c>
      <c r="J73" t="s">
        <v>510</v>
      </c>
      <c r="K73" t="s">
        <v>556</v>
      </c>
      <c r="L73" t="s">
        <v>485</v>
      </c>
      <c r="M73" t="s">
        <v>486</v>
      </c>
      <c r="O73" t="s">
        <v>564</v>
      </c>
      <c r="Q73" t="s">
        <v>488</v>
      </c>
      <c r="T73" t="s">
        <v>489</v>
      </c>
      <c r="U73" t="s">
        <v>490</v>
      </c>
      <c r="V73">
        <v>10.34</v>
      </c>
      <c r="W73">
        <v>2</v>
      </c>
      <c r="X73">
        <v>12872</v>
      </c>
      <c r="Y73">
        <v>25</v>
      </c>
      <c r="Z73" t="s">
        <v>491</v>
      </c>
      <c r="AA73" t="s">
        <v>491</v>
      </c>
      <c r="AC73" t="s">
        <v>491</v>
      </c>
      <c r="AD73" t="s">
        <v>492</v>
      </c>
      <c r="AE73" t="s">
        <v>492</v>
      </c>
      <c r="AF73">
        <v>2</v>
      </c>
      <c r="AG73">
        <v>2</v>
      </c>
      <c r="AH73">
        <v>0</v>
      </c>
      <c r="AI73">
        <v>0</v>
      </c>
      <c r="AJ73">
        <v>0</v>
      </c>
      <c r="AK73">
        <v>0</v>
      </c>
      <c r="AL73">
        <v>0</v>
      </c>
      <c r="AM73">
        <v>2</v>
      </c>
      <c r="AN73" t="s">
        <v>493</v>
      </c>
      <c r="AO73" t="s">
        <v>494</v>
      </c>
      <c r="AP73">
        <v>16</v>
      </c>
      <c r="AQ73" t="s">
        <v>396</v>
      </c>
      <c r="AR73" t="s">
        <v>558</v>
      </c>
      <c r="AS73">
        <v>2</v>
      </c>
      <c r="AT73" t="s">
        <v>497</v>
      </c>
      <c r="AU73" t="s">
        <v>804</v>
      </c>
      <c r="AV73" t="s">
        <v>498</v>
      </c>
      <c r="AW73" t="s">
        <v>805</v>
      </c>
      <c r="AX73">
        <v>44.797600000000003</v>
      </c>
      <c r="AY73">
        <v>-68.760329999999996</v>
      </c>
      <c r="AZ73">
        <v>8</v>
      </c>
      <c r="BA73" t="s">
        <v>667</v>
      </c>
      <c r="BB73" t="s">
        <v>501</v>
      </c>
      <c r="BC73">
        <v>4041934</v>
      </c>
      <c r="BD73">
        <v>4</v>
      </c>
      <c r="BE73" t="s">
        <v>502</v>
      </c>
      <c r="BF73" t="s">
        <v>503</v>
      </c>
      <c r="BG73" t="s">
        <v>504</v>
      </c>
      <c r="BH73" t="s">
        <v>560</v>
      </c>
      <c r="BI73">
        <v>222439</v>
      </c>
      <c r="BJ73">
        <v>0.01</v>
      </c>
    </row>
    <row r="74" spans="1:62" x14ac:dyDescent="0.35">
      <c r="A74" t="s">
        <v>477</v>
      </c>
      <c r="B74" t="s">
        <v>806</v>
      </c>
      <c r="C74" s="292">
        <v>44209</v>
      </c>
      <c r="D74" t="s">
        <v>479</v>
      </c>
      <c r="E74" t="s">
        <v>574</v>
      </c>
      <c r="F74" t="s">
        <v>807</v>
      </c>
      <c r="G74">
        <v>2021</v>
      </c>
      <c r="H74" t="s">
        <v>396</v>
      </c>
      <c r="I74" t="s">
        <v>532</v>
      </c>
      <c r="J74" t="s">
        <v>483</v>
      </c>
      <c r="K74" t="s">
        <v>484</v>
      </c>
      <c r="L74" t="s">
        <v>485</v>
      </c>
      <c r="M74" t="s">
        <v>486</v>
      </c>
      <c r="N74" t="s">
        <v>487</v>
      </c>
      <c r="O74" t="s">
        <v>553</v>
      </c>
      <c r="Q74" t="s">
        <v>488</v>
      </c>
      <c r="S74">
        <v>39690</v>
      </c>
      <c r="T74" t="s">
        <v>489</v>
      </c>
      <c r="U74" t="s">
        <v>490</v>
      </c>
      <c r="V74">
        <v>10.28</v>
      </c>
      <c r="W74">
        <v>1</v>
      </c>
      <c r="X74">
        <v>22335.5</v>
      </c>
      <c r="Z74" t="s">
        <v>491</v>
      </c>
      <c r="AA74" t="s">
        <v>491</v>
      </c>
      <c r="AB74" t="s">
        <v>491</v>
      </c>
      <c r="AC74" t="s">
        <v>491</v>
      </c>
      <c r="AD74" t="s">
        <v>492</v>
      </c>
      <c r="AE74" t="s">
        <v>492</v>
      </c>
      <c r="AF74">
        <v>2</v>
      </c>
      <c r="AG74">
        <v>2</v>
      </c>
      <c r="AH74">
        <v>0</v>
      </c>
      <c r="AI74">
        <v>0</v>
      </c>
      <c r="AJ74">
        <v>0</v>
      </c>
      <c r="AK74">
        <v>0</v>
      </c>
      <c r="AL74">
        <v>0</v>
      </c>
      <c r="AM74">
        <v>2</v>
      </c>
      <c r="AN74" t="s">
        <v>493</v>
      </c>
      <c r="AO74" t="s">
        <v>494</v>
      </c>
      <c r="AP74">
        <v>17</v>
      </c>
      <c r="AQ74" t="s">
        <v>495</v>
      </c>
      <c r="AR74" t="s">
        <v>496</v>
      </c>
      <c r="AS74">
        <v>4</v>
      </c>
      <c r="AT74" t="s">
        <v>497</v>
      </c>
      <c r="AU74" t="s">
        <v>808</v>
      </c>
      <c r="AV74" t="s">
        <v>498</v>
      </c>
      <c r="AW74" t="s">
        <v>809</v>
      </c>
      <c r="AX74">
        <v>44.797049169999987</v>
      </c>
      <c r="AY74">
        <v>-68.761350610000008</v>
      </c>
      <c r="AZ74">
        <v>1</v>
      </c>
      <c r="BA74" t="s">
        <v>514</v>
      </c>
      <c r="BB74" t="s">
        <v>501</v>
      </c>
      <c r="BC74">
        <v>4041936</v>
      </c>
      <c r="BD74">
        <v>4</v>
      </c>
      <c r="BE74" t="s">
        <v>502</v>
      </c>
      <c r="BF74" t="s">
        <v>503</v>
      </c>
      <c r="BG74" t="s">
        <v>504</v>
      </c>
      <c r="BH74" t="s">
        <v>505</v>
      </c>
      <c r="BI74">
        <v>224085</v>
      </c>
      <c r="BJ74">
        <v>0</v>
      </c>
    </row>
    <row r="75" spans="1:62" x14ac:dyDescent="0.35">
      <c r="A75" t="s">
        <v>477</v>
      </c>
      <c r="B75" t="s">
        <v>810</v>
      </c>
      <c r="C75" s="292">
        <v>44207</v>
      </c>
      <c r="D75" t="s">
        <v>479</v>
      </c>
      <c r="E75" t="s">
        <v>523</v>
      </c>
      <c r="F75" t="s">
        <v>811</v>
      </c>
      <c r="G75">
        <v>2021</v>
      </c>
      <c r="H75" t="s">
        <v>396</v>
      </c>
      <c r="I75" t="s">
        <v>482</v>
      </c>
      <c r="J75" t="s">
        <v>483</v>
      </c>
      <c r="K75" t="s">
        <v>484</v>
      </c>
      <c r="L75" t="s">
        <v>485</v>
      </c>
      <c r="M75" t="s">
        <v>486</v>
      </c>
      <c r="N75" t="s">
        <v>487</v>
      </c>
      <c r="O75" t="s">
        <v>518</v>
      </c>
      <c r="Q75" t="s">
        <v>488</v>
      </c>
      <c r="S75">
        <v>39690</v>
      </c>
      <c r="T75" t="s">
        <v>489</v>
      </c>
      <c r="U75" t="s">
        <v>490</v>
      </c>
      <c r="V75">
        <v>10.28</v>
      </c>
      <c r="W75">
        <v>1</v>
      </c>
      <c r="X75">
        <v>22335.5</v>
      </c>
      <c r="Z75" t="s">
        <v>491</v>
      </c>
      <c r="AA75" t="s">
        <v>491</v>
      </c>
      <c r="AB75" t="s">
        <v>491</v>
      </c>
      <c r="AC75" t="s">
        <v>491</v>
      </c>
      <c r="AD75" t="s">
        <v>492</v>
      </c>
      <c r="AE75" t="s">
        <v>492</v>
      </c>
      <c r="AF75">
        <v>2</v>
      </c>
      <c r="AG75">
        <v>2</v>
      </c>
      <c r="AH75">
        <v>0</v>
      </c>
      <c r="AI75">
        <v>0</v>
      </c>
      <c r="AJ75">
        <v>0</v>
      </c>
      <c r="AK75">
        <v>0</v>
      </c>
      <c r="AL75">
        <v>0</v>
      </c>
      <c r="AM75">
        <v>2</v>
      </c>
      <c r="AN75" t="s">
        <v>493</v>
      </c>
      <c r="AO75" t="s">
        <v>494</v>
      </c>
      <c r="AP75">
        <v>10</v>
      </c>
      <c r="AQ75" t="s">
        <v>495</v>
      </c>
      <c r="AR75" t="s">
        <v>496</v>
      </c>
      <c r="AS75">
        <v>2</v>
      </c>
      <c r="AT75" t="s">
        <v>497</v>
      </c>
      <c r="AU75" t="s">
        <v>812</v>
      </c>
      <c r="AV75" t="s">
        <v>498</v>
      </c>
      <c r="AW75" t="s">
        <v>813</v>
      </c>
      <c r="AX75">
        <v>44.797049169999987</v>
      </c>
      <c r="AY75">
        <v>-68.761350610000008</v>
      </c>
      <c r="AZ75">
        <v>1</v>
      </c>
      <c r="BA75" t="s">
        <v>514</v>
      </c>
      <c r="BB75" t="s">
        <v>501</v>
      </c>
      <c r="BC75">
        <v>4041936</v>
      </c>
      <c r="BD75">
        <v>4</v>
      </c>
      <c r="BE75" t="s">
        <v>502</v>
      </c>
      <c r="BF75" t="s">
        <v>503</v>
      </c>
      <c r="BG75" t="s">
        <v>504</v>
      </c>
      <c r="BH75" t="s">
        <v>505</v>
      </c>
      <c r="BI75">
        <v>224253</v>
      </c>
      <c r="BJ75">
        <v>0</v>
      </c>
    </row>
    <row r="76" spans="1:62" x14ac:dyDescent="0.35">
      <c r="A76" t="s">
        <v>477</v>
      </c>
      <c r="B76" t="s">
        <v>815</v>
      </c>
      <c r="C76" s="292">
        <v>43832</v>
      </c>
      <c r="D76" t="s">
        <v>479</v>
      </c>
      <c r="E76" t="s">
        <v>516</v>
      </c>
      <c r="F76" t="s">
        <v>816</v>
      </c>
      <c r="G76">
        <v>2020</v>
      </c>
      <c r="H76" t="s">
        <v>396</v>
      </c>
      <c r="I76" t="s">
        <v>532</v>
      </c>
      <c r="J76" t="s">
        <v>510</v>
      </c>
      <c r="K76" t="s">
        <v>484</v>
      </c>
      <c r="L76" t="s">
        <v>485</v>
      </c>
      <c r="M76" t="s">
        <v>486</v>
      </c>
      <c r="N76" t="s">
        <v>487</v>
      </c>
      <c r="O76" t="s">
        <v>564</v>
      </c>
      <c r="Q76" t="s">
        <v>488</v>
      </c>
      <c r="S76">
        <v>39690</v>
      </c>
      <c r="T76" t="s">
        <v>489</v>
      </c>
      <c r="U76" t="s">
        <v>490</v>
      </c>
      <c r="V76">
        <v>10.28</v>
      </c>
      <c r="W76">
        <v>1</v>
      </c>
      <c r="X76">
        <v>22335.5</v>
      </c>
      <c r="Z76" t="s">
        <v>491</v>
      </c>
      <c r="AA76" t="s">
        <v>491</v>
      </c>
      <c r="AB76" t="s">
        <v>491</v>
      </c>
      <c r="AC76" t="s">
        <v>491</v>
      </c>
      <c r="AD76" t="s">
        <v>492</v>
      </c>
      <c r="AE76" t="s">
        <v>492</v>
      </c>
      <c r="AF76">
        <v>2</v>
      </c>
      <c r="AG76">
        <v>2</v>
      </c>
      <c r="AH76">
        <v>0</v>
      </c>
      <c r="AI76">
        <v>0</v>
      </c>
      <c r="AJ76">
        <v>0</v>
      </c>
      <c r="AK76">
        <v>0</v>
      </c>
      <c r="AL76">
        <v>0</v>
      </c>
      <c r="AM76">
        <v>2</v>
      </c>
      <c r="AN76" t="s">
        <v>493</v>
      </c>
      <c r="AO76" t="s">
        <v>494</v>
      </c>
      <c r="AP76">
        <v>17</v>
      </c>
      <c r="AQ76" t="s">
        <v>495</v>
      </c>
      <c r="AR76" t="s">
        <v>496</v>
      </c>
      <c r="AS76">
        <v>5</v>
      </c>
      <c r="AT76" t="s">
        <v>497</v>
      </c>
      <c r="AU76" t="s">
        <v>817</v>
      </c>
      <c r="AV76" t="s">
        <v>498</v>
      </c>
      <c r="AW76" t="s">
        <v>818</v>
      </c>
      <c r="AX76">
        <v>44.797049169999987</v>
      </c>
      <c r="AY76">
        <v>-68.761350610000008</v>
      </c>
      <c r="AZ76">
        <v>1</v>
      </c>
      <c r="BA76" t="s">
        <v>514</v>
      </c>
      <c r="BB76" t="s">
        <v>501</v>
      </c>
      <c r="BC76">
        <v>4041936</v>
      </c>
      <c r="BD76">
        <v>4</v>
      </c>
      <c r="BE76" t="s">
        <v>502</v>
      </c>
      <c r="BF76" t="s">
        <v>503</v>
      </c>
      <c r="BG76" t="s">
        <v>504</v>
      </c>
      <c r="BH76" t="s">
        <v>505</v>
      </c>
      <c r="BI76">
        <v>226952</v>
      </c>
      <c r="BJ76">
        <v>0</v>
      </c>
    </row>
    <row r="77" spans="1:62" x14ac:dyDescent="0.35">
      <c r="A77" t="s">
        <v>477</v>
      </c>
      <c r="B77" t="s">
        <v>819</v>
      </c>
      <c r="C77" s="292">
        <v>43340</v>
      </c>
      <c r="D77" t="s">
        <v>479</v>
      </c>
      <c r="E77" t="s">
        <v>541</v>
      </c>
      <c r="F77" t="s">
        <v>820</v>
      </c>
      <c r="G77">
        <v>2018</v>
      </c>
      <c r="H77" t="s">
        <v>396</v>
      </c>
      <c r="I77" t="s">
        <v>532</v>
      </c>
      <c r="J77" t="s">
        <v>483</v>
      </c>
      <c r="K77" t="s">
        <v>484</v>
      </c>
      <c r="L77" t="s">
        <v>526</v>
      </c>
      <c r="M77" t="s">
        <v>563</v>
      </c>
      <c r="N77" t="s">
        <v>487</v>
      </c>
      <c r="O77" t="s">
        <v>518</v>
      </c>
      <c r="Q77" t="s">
        <v>488</v>
      </c>
      <c r="S77">
        <v>39690</v>
      </c>
      <c r="T77" t="s">
        <v>489</v>
      </c>
      <c r="U77" t="s">
        <v>490</v>
      </c>
      <c r="V77">
        <v>10.28</v>
      </c>
      <c r="W77">
        <v>1</v>
      </c>
      <c r="X77">
        <v>22335.5</v>
      </c>
      <c r="Z77" t="s">
        <v>491</v>
      </c>
      <c r="AA77" t="s">
        <v>491</v>
      </c>
      <c r="AB77" t="s">
        <v>491</v>
      </c>
      <c r="AC77" t="s">
        <v>491</v>
      </c>
      <c r="AD77" t="s">
        <v>492</v>
      </c>
      <c r="AE77" t="s">
        <v>492</v>
      </c>
      <c r="AF77">
        <v>2</v>
      </c>
      <c r="AG77">
        <v>6</v>
      </c>
      <c r="AH77">
        <v>1</v>
      </c>
      <c r="AI77">
        <v>0</v>
      </c>
      <c r="AJ77">
        <v>0</v>
      </c>
      <c r="AK77">
        <v>0</v>
      </c>
      <c r="AL77">
        <v>1</v>
      </c>
      <c r="AM77">
        <v>5</v>
      </c>
      <c r="AN77" t="s">
        <v>519</v>
      </c>
      <c r="AO77" t="s">
        <v>494</v>
      </c>
      <c r="AP77">
        <v>20</v>
      </c>
      <c r="AQ77" t="s">
        <v>495</v>
      </c>
      <c r="AR77" t="s">
        <v>496</v>
      </c>
      <c r="AS77">
        <v>3</v>
      </c>
      <c r="AT77" t="s">
        <v>497</v>
      </c>
      <c r="AU77" t="s">
        <v>819</v>
      </c>
      <c r="AV77" t="s">
        <v>498</v>
      </c>
      <c r="AW77" t="s">
        <v>821</v>
      </c>
      <c r="AX77">
        <v>44.797049169999987</v>
      </c>
      <c r="AY77">
        <v>-68.761350610000008</v>
      </c>
      <c r="AZ77">
        <v>8</v>
      </c>
      <c r="BA77" t="s">
        <v>667</v>
      </c>
      <c r="BB77" t="s">
        <v>501</v>
      </c>
      <c r="BC77">
        <v>4041936</v>
      </c>
      <c r="BD77">
        <v>4</v>
      </c>
      <c r="BE77" t="s">
        <v>502</v>
      </c>
      <c r="BF77" t="s">
        <v>503</v>
      </c>
      <c r="BG77" t="s">
        <v>504</v>
      </c>
      <c r="BH77" t="s">
        <v>505</v>
      </c>
      <c r="BI77">
        <v>228226</v>
      </c>
      <c r="BJ77">
        <v>0</v>
      </c>
    </row>
    <row r="78" spans="1:62" x14ac:dyDescent="0.35">
      <c r="A78" t="s">
        <v>477</v>
      </c>
      <c r="B78" t="s">
        <v>822</v>
      </c>
      <c r="C78" s="292">
        <v>43338</v>
      </c>
      <c r="D78" t="s">
        <v>479</v>
      </c>
      <c r="E78" t="s">
        <v>594</v>
      </c>
      <c r="F78" t="s">
        <v>823</v>
      </c>
      <c r="G78">
        <v>2018</v>
      </c>
      <c r="H78" t="s">
        <v>396</v>
      </c>
      <c r="I78" t="s">
        <v>482</v>
      </c>
      <c r="J78" t="s">
        <v>510</v>
      </c>
      <c r="K78" t="s">
        <v>556</v>
      </c>
      <c r="L78" t="s">
        <v>485</v>
      </c>
      <c r="M78" t="s">
        <v>486</v>
      </c>
      <c r="N78" t="s">
        <v>487</v>
      </c>
      <c r="O78" t="s">
        <v>609</v>
      </c>
      <c r="Q78" t="s">
        <v>609</v>
      </c>
      <c r="T78" t="s">
        <v>738</v>
      </c>
      <c r="U78" t="s">
        <v>739</v>
      </c>
      <c r="V78">
        <v>0.97000000000000008</v>
      </c>
      <c r="W78">
        <v>1</v>
      </c>
      <c r="X78">
        <v>7661</v>
      </c>
      <c r="Y78">
        <v>30</v>
      </c>
      <c r="Z78" t="s">
        <v>491</v>
      </c>
      <c r="AA78" t="s">
        <v>491</v>
      </c>
      <c r="AB78" t="s">
        <v>491</v>
      </c>
      <c r="AC78" t="s">
        <v>491</v>
      </c>
      <c r="AD78" t="s">
        <v>492</v>
      </c>
      <c r="AE78" t="s">
        <v>492</v>
      </c>
      <c r="AF78">
        <v>2</v>
      </c>
      <c r="AG78">
        <v>2</v>
      </c>
      <c r="AH78">
        <v>0</v>
      </c>
      <c r="AI78">
        <v>0</v>
      </c>
      <c r="AJ78">
        <v>0</v>
      </c>
      <c r="AK78">
        <v>0</v>
      </c>
      <c r="AL78">
        <v>0</v>
      </c>
      <c r="AM78">
        <v>2</v>
      </c>
      <c r="AN78" t="s">
        <v>493</v>
      </c>
      <c r="AO78" t="s">
        <v>494</v>
      </c>
      <c r="AP78">
        <v>10</v>
      </c>
      <c r="AQ78" t="s">
        <v>495</v>
      </c>
      <c r="AR78" t="s">
        <v>672</v>
      </c>
      <c r="AS78">
        <v>1</v>
      </c>
      <c r="AT78" t="s">
        <v>497</v>
      </c>
      <c r="AU78" t="s">
        <v>822</v>
      </c>
      <c r="AV78" t="s">
        <v>498</v>
      </c>
      <c r="AW78" t="s">
        <v>824</v>
      </c>
      <c r="AX78">
        <v>44.797163400000002</v>
      </c>
      <c r="AY78">
        <v>-68.761544409999999</v>
      </c>
      <c r="AZ78">
        <v>8</v>
      </c>
      <c r="BA78" t="s">
        <v>667</v>
      </c>
      <c r="BB78" t="s">
        <v>501</v>
      </c>
      <c r="BC78">
        <v>4041936</v>
      </c>
      <c r="BD78">
        <v>4</v>
      </c>
      <c r="BE78" t="s">
        <v>502</v>
      </c>
      <c r="BF78" t="s">
        <v>503</v>
      </c>
      <c r="BG78" t="s">
        <v>504</v>
      </c>
      <c r="BH78" t="s">
        <v>560</v>
      </c>
      <c r="BI78">
        <v>235705</v>
      </c>
      <c r="BJ78">
        <v>0.01</v>
      </c>
    </row>
    <row r="79" spans="1:62" x14ac:dyDescent="0.35">
      <c r="A79" t="s">
        <v>477</v>
      </c>
      <c r="B79" t="s">
        <v>825</v>
      </c>
      <c r="C79" s="292">
        <v>43607</v>
      </c>
      <c r="D79" t="s">
        <v>479</v>
      </c>
      <c r="E79" t="s">
        <v>574</v>
      </c>
      <c r="F79" t="s">
        <v>826</v>
      </c>
      <c r="G79">
        <v>2019</v>
      </c>
      <c r="H79" t="s">
        <v>396</v>
      </c>
      <c r="I79" t="s">
        <v>482</v>
      </c>
      <c r="J79" t="s">
        <v>510</v>
      </c>
      <c r="K79" t="s">
        <v>576</v>
      </c>
      <c r="L79" t="s">
        <v>485</v>
      </c>
      <c r="M79" t="s">
        <v>486</v>
      </c>
      <c r="N79" t="s">
        <v>487</v>
      </c>
      <c r="O79" t="s">
        <v>557</v>
      </c>
      <c r="Q79" t="s">
        <v>488</v>
      </c>
      <c r="T79" t="s">
        <v>489</v>
      </c>
      <c r="U79" t="s">
        <v>490</v>
      </c>
      <c r="V79">
        <v>10.32</v>
      </c>
      <c r="W79">
        <v>2</v>
      </c>
      <c r="X79">
        <v>12872</v>
      </c>
      <c r="Y79">
        <v>25</v>
      </c>
      <c r="Z79" t="s">
        <v>491</v>
      </c>
      <c r="AA79" t="s">
        <v>491</v>
      </c>
      <c r="AB79" t="s">
        <v>491</v>
      </c>
      <c r="AC79" t="s">
        <v>491</v>
      </c>
      <c r="AD79" t="s">
        <v>492</v>
      </c>
      <c r="AE79" t="s">
        <v>492</v>
      </c>
      <c r="AF79">
        <v>2</v>
      </c>
      <c r="AG79">
        <v>2</v>
      </c>
      <c r="AH79">
        <v>0</v>
      </c>
      <c r="AI79">
        <v>0</v>
      </c>
      <c r="AJ79">
        <v>0</v>
      </c>
      <c r="AK79">
        <v>0</v>
      </c>
      <c r="AL79">
        <v>0</v>
      </c>
      <c r="AM79">
        <v>2</v>
      </c>
      <c r="AN79" t="s">
        <v>493</v>
      </c>
      <c r="AO79" t="s">
        <v>494</v>
      </c>
      <c r="AP79">
        <v>17</v>
      </c>
      <c r="AQ79" t="s">
        <v>827</v>
      </c>
      <c r="AR79" t="s">
        <v>558</v>
      </c>
      <c r="AS79">
        <v>4</v>
      </c>
      <c r="AT79" t="s">
        <v>497</v>
      </c>
      <c r="AU79" t="s">
        <v>825</v>
      </c>
      <c r="AV79" t="s">
        <v>498</v>
      </c>
      <c r="AW79" t="s">
        <v>828</v>
      </c>
      <c r="AX79">
        <v>44.797446299999997</v>
      </c>
      <c r="AY79">
        <v>-68.760614939999996</v>
      </c>
      <c r="AZ79">
        <v>5</v>
      </c>
      <c r="BA79" t="s">
        <v>597</v>
      </c>
      <c r="BB79" t="s">
        <v>501</v>
      </c>
      <c r="BC79">
        <v>4041934</v>
      </c>
      <c r="BD79">
        <v>4</v>
      </c>
      <c r="BE79" t="s">
        <v>502</v>
      </c>
      <c r="BF79" t="s">
        <v>503</v>
      </c>
      <c r="BG79" t="s">
        <v>504</v>
      </c>
      <c r="BH79" t="s">
        <v>560</v>
      </c>
      <c r="BI79">
        <v>236433</v>
      </c>
      <c r="BJ79">
        <v>0.03</v>
      </c>
    </row>
    <row r="80" spans="1:62" x14ac:dyDescent="0.35">
      <c r="A80" t="s">
        <v>477</v>
      </c>
      <c r="B80" t="s">
        <v>829</v>
      </c>
      <c r="C80" s="292">
        <v>43815</v>
      </c>
      <c r="D80" t="s">
        <v>479</v>
      </c>
      <c r="E80" t="s">
        <v>523</v>
      </c>
      <c r="F80" t="s">
        <v>830</v>
      </c>
      <c r="G80">
        <v>2019</v>
      </c>
      <c r="H80" t="s">
        <v>396</v>
      </c>
      <c r="I80" t="s">
        <v>482</v>
      </c>
      <c r="J80" t="s">
        <v>510</v>
      </c>
      <c r="K80" t="s">
        <v>556</v>
      </c>
      <c r="L80" t="s">
        <v>485</v>
      </c>
      <c r="M80" t="s">
        <v>486</v>
      </c>
      <c r="O80" t="s">
        <v>511</v>
      </c>
      <c r="Q80" t="s">
        <v>488</v>
      </c>
      <c r="T80" t="s">
        <v>670</v>
      </c>
      <c r="U80" t="s">
        <v>671</v>
      </c>
      <c r="V80">
        <v>0.01</v>
      </c>
      <c r="W80">
        <v>1</v>
      </c>
      <c r="X80">
        <v>5125</v>
      </c>
      <c r="Y80">
        <v>30</v>
      </c>
      <c r="Z80" t="s">
        <v>491</v>
      </c>
      <c r="AA80" t="s">
        <v>491</v>
      </c>
      <c r="AB80" t="s">
        <v>491</v>
      </c>
      <c r="AC80" t="s">
        <v>491</v>
      </c>
      <c r="AD80" t="s">
        <v>492</v>
      </c>
      <c r="AE80" t="s">
        <v>492</v>
      </c>
      <c r="AF80">
        <v>2</v>
      </c>
      <c r="AG80">
        <v>4</v>
      </c>
      <c r="AH80">
        <v>0</v>
      </c>
      <c r="AI80">
        <v>0</v>
      </c>
      <c r="AJ80">
        <v>0</v>
      </c>
      <c r="AK80">
        <v>0</v>
      </c>
      <c r="AL80">
        <v>0</v>
      </c>
      <c r="AM80">
        <v>4</v>
      </c>
      <c r="AN80" t="s">
        <v>493</v>
      </c>
      <c r="AO80" t="s">
        <v>494</v>
      </c>
      <c r="AP80">
        <v>13</v>
      </c>
      <c r="AQ80" t="s">
        <v>396</v>
      </c>
      <c r="AR80" t="s">
        <v>672</v>
      </c>
      <c r="AS80">
        <v>2</v>
      </c>
      <c r="AT80" t="s">
        <v>497</v>
      </c>
      <c r="AU80" t="s">
        <v>829</v>
      </c>
      <c r="AV80" t="s">
        <v>498</v>
      </c>
      <c r="AW80" t="s">
        <v>831</v>
      </c>
      <c r="AX80">
        <v>44.796821779999988</v>
      </c>
      <c r="AY80">
        <v>-68.761243660000005</v>
      </c>
      <c r="AZ80">
        <v>12</v>
      </c>
      <c r="BA80" t="s">
        <v>534</v>
      </c>
      <c r="BB80" t="s">
        <v>501</v>
      </c>
      <c r="BC80">
        <v>4042173</v>
      </c>
      <c r="BD80">
        <v>4</v>
      </c>
      <c r="BE80" t="s">
        <v>502</v>
      </c>
      <c r="BF80" t="s">
        <v>503</v>
      </c>
      <c r="BG80" t="s">
        <v>504</v>
      </c>
      <c r="BH80" t="s">
        <v>560</v>
      </c>
      <c r="BI80">
        <v>236944</v>
      </c>
      <c r="BJ80">
        <v>0.01</v>
      </c>
    </row>
    <row r="81" spans="1:62" x14ac:dyDescent="0.35">
      <c r="A81" t="s">
        <v>477</v>
      </c>
      <c r="B81" t="s">
        <v>832</v>
      </c>
      <c r="C81" s="292">
        <v>43832</v>
      </c>
      <c r="D81" t="s">
        <v>479</v>
      </c>
      <c r="E81" t="s">
        <v>516</v>
      </c>
      <c r="F81" t="s">
        <v>833</v>
      </c>
      <c r="G81">
        <v>2020</v>
      </c>
      <c r="H81" t="s">
        <v>396</v>
      </c>
      <c r="I81" t="s">
        <v>532</v>
      </c>
      <c r="J81" t="s">
        <v>483</v>
      </c>
      <c r="K81" t="s">
        <v>484</v>
      </c>
      <c r="L81" t="s">
        <v>485</v>
      </c>
      <c r="M81" t="s">
        <v>486</v>
      </c>
      <c r="N81" t="s">
        <v>487</v>
      </c>
      <c r="O81" t="s">
        <v>564</v>
      </c>
      <c r="Q81" t="s">
        <v>488</v>
      </c>
      <c r="S81">
        <v>39690</v>
      </c>
      <c r="T81" t="s">
        <v>489</v>
      </c>
      <c r="U81" t="s">
        <v>490</v>
      </c>
      <c r="V81">
        <v>10.28</v>
      </c>
      <c r="W81">
        <v>1</v>
      </c>
      <c r="X81">
        <v>22335.5</v>
      </c>
      <c r="Z81" t="s">
        <v>491</v>
      </c>
      <c r="AA81" t="s">
        <v>491</v>
      </c>
      <c r="AB81" t="s">
        <v>491</v>
      </c>
      <c r="AC81" t="s">
        <v>491</v>
      </c>
      <c r="AD81" t="s">
        <v>492</v>
      </c>
      <c r="AE81" t="s">
        <v>492</v>
      </c>
      <c r="AF81">
        <v>2</v>
      </c>
      <c r="AG81">
        <v>2</v>
      </c>
      <c r="AH81">
        <v>0</v>
      </c>
      <c r="AI81">
        <v>0</v>
      </c>
      <c r="AJ81">
        <v>0</v>
      </c>
      <c r="AK81">
        <v>0</v>
      </c>
      <c r="AL81">
        <v>0</v>
      </c>
      <c r="AM81">
        <v>2</v>
      </c>
      <c r="AN81" t="s">
        <v>493</v>
      </c>
      <c r="AO81" t="s">
        <v>494</v>
      </c>
      <c r="AP81">
        <v>17</v>
      </c>
      <c r="AQ81" t="s">
        <v>495</v>
      </c>
      <c r="AR81" t="s">
        <v>496</v>
      </c>
      <c r="AS81">
        <v>5</v>
      </c>
      <c r="AT81" t="s">
        <v>497</v>
      </c>
      <c r="AU81" t="s">
        <v>834</v>
      </c>
      <c r="AV81" t="s">
        <v>498</v>
      </c>
      <c r="AW81" t="s">
        <v>835</v>
      </c>
      <c r="AX81">
        <v>44.797049169999987</v>
      </c>
      <c r="AY81">
        <v>-68.761350610000008</v>
      </c>
      <c r="AZ81">
        <v>1</v>
      </c>
      <c r="BA81" t="s">
        <v>514</v>
      </c>
      <c r="BB81" t="s">
        <v>501</v>
      </c>
      <c r="BC81">
        <v>4041936</v>
      </c>
      <c r="BD81">
        <v>4</v>
      </c>
      <c r="BE81" t="s">
        <v>502</v>
      </c>
      <c r="BF81" t="s">
        <v>503</v>
      </c>
      <c r="BG81" t="s">
        <v>504</v>
      </c>
      <c r="BH81" t="s">
        <v>505</v>
      </c>
      <c r="BI81">
        <v>236951</v>
      </c>
      <c r="BJ81">
        <v>0</v>
      </c>
    </row>
    <row r="82" spans="1:62" x14ac:dyDescent="0.35">
      <c r="A82" t="s">
        <v>477</v>
      </c>
      <c r="B82" t="s">
        <v>836</v>
      </c>
      <c r="C82" s="292">
        <v>45320</v>
      </c>
      <c r="D82" t="s">
        <v>479</v>
      </c>
      <c r="E82" t="s">
        <v>536</v>
      </c>
      <c r="F82" t="s">
        <v>837</v>
      </c>
      <c r="G82">
        <v>2024</v>
      </c>
      <c r="H82" t="s">
        <v>396</v>
      </c>
      <c r="I82" t="s">
        <v>482</v>
      </c>
      <c r="J82" t="s">
        <v>510</v>
      </c>
      <c r="K82" t="s">
        <v>556</v>
      </c>
      <c r="L82" t="s">
        <v>526</v>
      </c>
      <c r="M82" t="s">
        <v>486</v>
      </c>
      <c r="O82" t="s">
        <v>488</v>
      </c>
      <c r="Q82" t="s">
        <v>488</v>
      </c>
      <c r="T82" t="s">
        <v>489</v>
      </c>
      <c r="U82" t="s">
        <v>490</v>
      </c>
      <c r="V82">
        <v>10.34</v>
      </c>
      <c r="W82">
        <v>2</v>
      </c>
      <c r="X82">
        <v>12872</v>
      </c>
      <c r="Y82">
        <v>25</v>
      </c>
      <c r="Z82" t="s">
        <v>491</v>
      </c>
      <c r="AA82" t="s">
        <v>491</v>
      </c>
      <c r="AC82" t="s">
        <v>491</v>
      </c>
      <c r="AD82" t="s">
        <v>492</v>
      </c>
      <c r="AE82" t="s">
        <v>492</v>
      </c>
      <c r="AF82">
        <v>2</v>
      </c>
      <c r="AG82">
        <v>3</v>
      </c>
      <c r="AH82">
        <v>1</v>
      </c>
      <c r="AI82">
        <v>0</v>
      </c>
      <c r="AJ82">
        <v>0</v>
      </c>
      <c r="AK82">
        <v>0</v>
      </c>
      <c r="AL82">
        <v>1</v>
      </c>
      <c r="AM82">
        <v>2</v>
      </c>
      <c r="AN82" t="s">
        <v>519</v>
      </c>
      <c r="AO82" t="s">
        <v>494</v>
      </c>
      <c r="AP82">
        <v>6</v>
      </c>
      <c r="AQ82" t="s">
        <v>396</v>
      </c>
      <c r="AR82" t="s">
        <v>558</v>
      </c>
      <c r="AS82">
        <v>2</v>
      </c>
      <c r="AT82" t="s">
        <v>497</v>
      </c>
      <c r="AU82" t="s">
        <v>838</v>
      </c>
      <c r="AV82" t="s">
        <v>498</v>
      </c>
      <c r="AW82" t="s">
        <v>839</v>
      </c>
      <c r="AX82">
        <v>44.797602130000001</v>
      </c>
      <c r="AY82">
        <v>-68.760323360000001</v>
      </c>
      <c r="AZ82">
        <v>1</v>
      </c>
      <c r="BA82" t="s">
        <v>514</v>
      </c>
      <c r="BB82" t="s">
        <v>501</v>
      </c>
      <c r="BC82">
        <v>4041934</v>
      </c>
      <c r="BD82">
        <v>4</v>
      </c>
      <c r="BE82" t="s">
        <v>502</v>
      </c>
      <c r="BF82" t="s">
        <v>503</v>
      </c>
      <c r="BG82" t="s">
        <v>504</v>
      </c>
      <c r="BH82" t="s">
        <v>560</v>
      </c>
      <c r="BI82">
        <v>240190</v>
      </c>
      <c r="BJ82">
        <v>0.01</v>
      </c>
    </row>
    <row r="83" spans="1:62" x14ac:dyDescent="0.35">
      <c r="A83" t="s">
        <v>477</v>
      </c>
      <c r="B83" t="s">
        <v>840</v>
      </c>
      <c r="C83" s="292">
        <v>44495</v>
      </c>
      <c r="D83" t="s">
        <v>479</v>
      </c>
      <c r="E83" t="s">
        <v>541</v>
      </c>
      <c r="F83" t="s">
        <v>841</v>
      </c>
      <c r="G83">
        <v>2021</v>
      </c>
      <c r="H83" t="s">
        <v>396</v>
      </c>
      <c r="I83" t="s">
        <v>482</v>
      </c>
      <c r="J83" t="s">
        <v>510</v>
      </c>
      <c r="K83" t="s">
        <v>556</v>
      </c>
      <c r="L83" t="s">
        <v>485</v>
      </c>
      <c r="M83" t="s">
        <v>563</v>
      </c>
      <c r="O83" t="s">
        <v>511</v>
      </c>
      <c r="Q83" t="s">
        <v>488</v>
      </c>
      <c r="T83" t="s">
        <v>489</v>
      </c>
      <c r="U83" t="s">
        <v>490</v>
      </c>
      <c r="V83">
        <v>10.36</v>
      </c>
      <c r="W83">
        <v>2</v>
      </c>
      <c r="X83">
        <v>11829</v>
      </c>
      <c r="Y83">
        <v>25</v>
      </c>
      <c r="Z83" t="s">
        <v>491</v>
      </c>
      <c r="AA83" t="s">
        <v>491</v>
      </c>
      <c r="AB83" t="s">
        <v>491</v>
      </c>
      <c r="AC83" t="s">
        <v>491</v>
      </c>
      <c r="AD83" t="s">
        <v>492</v>
      </c>
      <c r="AE83" t="s">
        <v>492</v>
      </c>
      <c r="AF83">
        <v>2</v>
      </c>
      <c r="AG83">
        <v>3</v>
      </c>
      <c r="AH83">
        <v>0</v>
      </c>
      <c r="AI83">
        <v>0</v>
      </c>
      <c r="AJ83">
        <v>0</v>
      </c>
      <c r="AK83">
        <v>0</v>
      </c>
      <c r="AL83">
        <v>0</v>
      </c>
      <c r="AM83">
        <v>3</v>
      </c>
      <c r="AN83" t="s">
        <v>493</v>
      </c>
      <c r="AO83" t="s">
        <v>494</v>
      </c>
      <c r="AP83">
        <v>8</v>
      </c>
      <c r="AQ83" t="s">
        <v>396</v>
      </c>
      <c r="AR83" t="s">
        <v>558</v>
      </c>
      <c r="AS83">
        <v>3</v>
      </c>
      <c r="AT83" t="s">
        <v>497</v>
      </c>
      <c r="AU83" t="s">
        <v>840</v>
      </c>
      <c r="AV83" t="s">
        <v>498</v>
      </c>
      <c r="AW83" t="s">
        <v>842</v>
      </c>
      <c r="AX83">
        <v>44.797776910000003</v>
      </c>
      <c r="AY83">
        <v>-68.760000930000004</v>
      </c>
      <c r="AZ83">
        <v>10</v>
      </c>
      <c r="BA83" t="s">
        <v>548</v>
      </c>
      <c r="BB83" t="s">
        <v>501</v>
      </c>
      <c r="BC83">
        <v>3132103</v>
      </c>
      <c r="BD83">
        <v>4</v>
      </c>
      <c r="BE83" t="s">
        <v>502</v>
      </c>
      <c r="BF83" t="s">
        <v>503</v>
      </c>
      <c r="BG83" t="s">
        <v>504</v>
      </c>
      <c r="BH83" t="s">
        <v>560</v>
      </c>
      <c r="BI83">
        <v>243116</v>
      </c>
      <c r="BJ83">
        <v>0.01</v>
      </c>
    </row>
    <row r="84" spans="1:62" x14ac:dyDescent="0.35">
      <c r="A84" t="s">
        <v>477</v>
      </c>
      <c r="B84" t="s">
        <v>843</v>
      </c>
      <c r="C84" s="292">
        <v>44655</v>
      </c>
      <c r="D84" t="s">
        <v>479</v>
      </c>
      <c r="E84" t="s">
        <v>523</v>
      </c>
      <c r="F84" t="s">
        <v>844</v>
      </c>
      <c r="G84">
        <v>2022</v>
      </c>
      <c r="H84" t="s">
        <v>396</v>
      </c>
      <c r="I84" t="s">
        <v>482</v>
      </c>
      <c r="J84" t="s">
        <v>510</v>
      </c>
      <c r="K84" t="s">
        <v>484</v>
      </c>
      <c r="L84" t="s">
        <v>485</v>
      </c>
      <c r="M84" t="s">
        <v>486</v>
      </c>
      <c r="N84" t="s">
        <v>487</v>
      </c>
      <c r="O84" t="s">
        <v>511</v>
      </c>
      <c r="Q84" t="s">
        <v>488</v>
      </c>
      <c r="S84">
        <v>39690</v>
      </c>
      <c r="T84" t="s">
        <v>489</v>
      </c>
      <c r="U84" t="s">
        <v>490</v>
      </c>
      <c r="V84">
        <v>10.28</v>
      </c>
      <c r="W84">
        <v>1</v>
      </c>
      <c r="X84">
        <v>22335.5</v>
      </c>
      <c r="Z84" t="s">
        <v>491</v>
      </c>
      <c r="AA84" t="s">
        <v>491</v>
      </c>
      <c r="AB84" t="s">
        <v>491</v>
      </c>
      <c r="AC84" t="s">
        <v>491</v>
      </c>
      <c r="AD84" t="s">
        <v>492</v>
      </c>
      <c r="AE84" t="s">
        <v>492</v>
      </c>
      <c r="AF84">
        <v>2</v>
      </c>
      <c r="AG84">
        <v>2</v>
      </c>
      <c r="AH84">
        <v>0</v>
      </c>
      <c r="AI84">
        <v>0</v>
      </c>
      <c r="AJ84">
        <v>0</v>
      </c>
      <c r="AK84">
        <v>0</v>
      </c>
      <c r="AL84">
        <v>0</v>
      </c>
      <c r="AM84">
        <v>2</v>
      </c>
      <c r="AN84" t="s">
        <v>493</v>
      </c>
      <c r="AO84" t="s">
        <v>494</v>
      </c>
      <c r="AP84">
        <v>17</v>
      </c>
      <c r="AQ84" t="s">
        <v>495</v>
      </c>
      <c r="AR84" t="s">
        <v>496</v>
      </c>
      <c r="AS84">
        <v>2</v>
      </c>
      <c r="AT84" t="s">
        <v>497</v>
      </c>
      <c r="AU84" t="s">
        <v>843</v>
      </c>
      <c r="AV84" t="s">
        <v>498</v>
      </c>
      <c r="AW84" t="s">
        <v>845</v>
      </c>
      <c r="AX84">
        <v>44.797049169999987</v>
      </c>
      <c r="AY84">
        <v>-68.761350610000008</v>
      </c>
      <c r="AZ84">
        <v>4</v>
      </c>
      <c r="BA84" t="s">
        <v>606</v>
      </c>
      <c r="BB84" t="s">
        <v>501</v>
      </c>
      <c r="BC84">
        <v>4041936</v>
      </c>
      <c r="BD84">
        <v>4</v>
      </c>
      <c r="BE84" t="s">
        <v>502</v>
      </c>
      <c r="BF84" t="s">
        <v>503</v>
      </c>
      <c r="BG84" t="s">
        <v>504</v>
      </c>
      <c r="BH84" t="s">
        <v>505</v>
      </c>
      <c r="BI84">
        <v>252663</v>
      </c>
      <c r="BJ84">
        <v>0</v>
      </c>
    </row>
    <row r="85" spans="1:62" x14ac:dyDescent="0.35">
      <c r="A85" t="s">
        <v>477</v>
      </c>
      <c r="B85" t="s">
        <v>846</v>
      </c>
      <c r="C85" s="292">
        <v>43420</v>
      </c>
      <c r="D85" t="s">
        <v>479</v>
      </c>
      <c r="E85" t="s">
        <v>549</v>
      </c>
      <c r="F85" t="s">
        <v>847</v>
      </c>
      <c r="G85">
        <v>2018</v>
      </c>
      <c r="H85" t="s">
        <v>724</v>
      </c>
      <c r="I85" t="s">
        <v>532</v>
      </c>
      <c r="J85" t="s">
        <v>483</v>
      </c>
      <c r="K85" t="s">
        <v>484</v>
      </c>
      <c r="L85" t="s">
        <v>848</v>
      </c>
      <c r="M85" t="s">
        <v>486</v>
      </c>
      <c r="N85" t="s">
        <v>487</v>
      </c>
      <c r="O85" t="s">
        <v>729</v>
      </c>
      <c r="Q85" t="s">
        <v>488</v>
      </c>
      <c r="S85">
        <v>39690</v>
      </c>
      <c r="T85" t="s">
        <v>489</v>
      </c>
      <c r="U85" t="s">
        <v>490</v>
      </c>
      <c r="V85">
        <v>10.28</v>
      </c>
      <c r="W85">
        <v>1</v>
      </c>
      <c r="X85">
        <v>22335.5</v>
      </c>
      <c r="Z85" t="s">
        <v>491</v>
      </c>
      <c r="AA85" t="s">
        <v>491</v>
      </c>
      <c r="AB85" t="s">
        <v>491</v>
      </c>
      <c r="AC85" t="s">
        <v>491</v>
      </c>
      <c r="AD85" t="s">
        <v>492</v>
      </c>
      <c r="AE85" t="s">
        <v>492</v>
      </c>
      <c r="AF85">
        <v>2</v>
      </c>
      <c r="AG85">
        <v>2</v>
      </c>
      <c r="AH85">
        <v>1</v>
      </c>
      <c r="AI85">
        <v>0</v>
      </c>
      <c r="AJ85">
        <v>0</v>
      </c>
      <c r="AK85">
        <v>0</v>
      </c>
      <c r="AL85">
        <v>1</v>
      </c>
      <c r="AM85">
        <v>1</v>
      </c>
      <c r="AN85" t="s">
        <v>519</v>
      </c>
      <c r="AO85" t="s">
        <v>494</v>
      </c>
      <c r="AP85">
        <v>21</v>
      </c>
      <c r="AQ85" t="s">
        <v>495</v>
      </c>
      <c r="AR85" t="s">
        <v>496</v>
      </c>
      <c r="AS85">
        <v>6</v>
      </c>
      <c r="AT85" t="s">
        <v>497</v>
      </c>
      <c r="AU85" t="s">
        <v>846</v>
      </c>
      <c r="AV85" t="s">
        <v>498</v>
      </c>
      <c r="AW85" t="s">
        <v>849</v>
      </c>
      <c r="AX85">
        <v>44.797049169999987</v>
      </c>
      <c r="AY85">
        <v>-68.761350610000008</v>
      </c>
      <c r="AZ85">
        <v>11</v>
      </c>
      <c r="BA85" t="s">
        <v>551</v>
      </c>
      <c r="BB85" t="s">
        <v>501</v>
      </c>
      <c r="BC85">
        <v>4041936</v>
      </c>
      <c r="BD85">
        <v>4</v>
      </c>
      <c r="BE85" t="s">
        <v>502</v>
      </c>
      <c r="BF85" t="s">
        <v>503</v>
      </c>
      <c r="BG85" t="s">
        <v>504</v>
      </c>
      <c r="BH85" t="s">
        <v>505</v>
      </c>
      <c r="BI85">
        <v>252842</v>
      </c>
      <c r="BJ85">
        <v>0</v>
      </c>
    </row>
    <row r="86" spans="1:62" x14ac:dyDescent="0.35">
      <c r="A86" t="s">
        <v>477</v>
      </c>
      <c r="B86" t="s">
        <v>850</v>
      </c>
      <c r="C86" s="292">
        <v>45000</v>
      </c>
      <c r="D86" t="s">
        <v>479</v>
      </c>
      <c r="E86" t="s">
        <v>574</v>
      </c>
      <c r="F86" t="s">
        <v>851</v>
      </c>
      <c r="G86">
        <v>2023</v>
      </c>
      <c r="H86" t="s">
        <v>396</v>
      </c>
      <c r="I86" t="s">
        <v>482</v>
      </c>
      <c r="J86" t="s">
        <v>510</v>
      </c>
      <c r="K86" t="s">
        <v>484</v>
      </c>
      <c r="L86" t="s">
        <v>485</v>
      </c>
      <c r="M86" t="s">
        <v>486</v>
      </c>
      <c r="N86" t="s">
        <v>487</v>
      </c>
      <c r="O86" t="s">
        <v>488</v>
      </c>
      <c r="S86">
        <v>39690</v>
      </c>
      <c r="T86" t="s">
        <v>489</v>
      </c>
      <c r="U86" t="s">
        <v>490</v>
      </c>
      <c r="V86">
        <v>10.28</v>
      </c>
      <c r="W86">
        <v>1</v>
      </c>
      <c r="X86">
        <v>22335.5</v>
      </c>
      <c r="Z86" t="s">
        <v>491</v>
      </c>
      <c r="AA86" t="s">
        <v>491</v>
      </c>
      <c r="AC86" t="s">
        <v>491</v>
      </c>
      <c r="AD86" t="s">
        <v>492</v>
      </c>
      <c r="AE86" t="s">
        <v>492</v>
      </c>
      <c r="AF86">
        <v>2</v>
      </c>
      <c r="AG86">
        <v>1</v>
      </c>
      <c r="AH86">
        <v>0</v>
      </c>
      <c r="AI86">
        <v>0</v>
      </c>
      <c r="AJ86">
        <v>0</v>
      </c>
      <c r="AK86">
        <v>0</v>
      </c>
      <c r="AL86">
        <v>0</v>
      </c>
      <c r="AM86">
        <v>1</v>
      </c>
      <c r="AN86" t="s">
        <v>493</v>
      </c>
      <c r="AO86" t="s">
        <v>494</v>
      </c>
      <c r="AP86">
        <v>15</v>
      </c>
      <c r="AQ86" t="s">
        <v>495</v>
      </c>
      <c r="AR86" t="s">
        <v>496</v>
      </c>
      <c r="AS86">
        <v>4</v>
      </c>
      <c r="AT86" t="s">
        <v>497</v>
      </c>
      <c r="AU86" t="s">
        <v>852</v>
      </c>
      <c r="AV86" t="s">
        <v>498</v>
      </c>
      <c r="AW86" t="s">
        <v>853</v>
      </c>
      <c r="AX86">
        <v>44.797049169999987</v>
      </c>
      <c r="AY86">
        <v>-68.761350610000008</v>
      </c>
      <c r="AZ86">
        <v>3</v>
      </c>
      <c r="BA86" t="s">
        <v>622</v>
      </c>
      <c r="BB86" t="s">
        <v>501</v>
      </c>
      <c r="BC86">
        <v>4041936</v>
      </c>
      <c r="BD86">
        <v>4</v>
      </c>
      <c r="BE86" t="s">
        <v>502</v>
      </c>
      <c r="BF86" t="s">
        <v>503</v>
      </c>
      <c r="BG86" t="s">
        <v>504</v>
      </c>
      <c r="BH86" t="s">
        <v>505</v>
      </c>
      <c r="BI86">
        <v>254467</v>
      </c>
      <c r="BJ86">
        <v>0</v>
      </c>
    </row>
    <row r="87" spans="1:62" x14ac:dyDescent="0.35">
      <c r="A87" t="s">
        <v>477</v>
      </c>
      <c r="B87" t="s">
        <v>854</v>
      </c>
      <c r="C87" s="292">
        <v>45415</v>
      </c>
      <c r="D87" t="s">
        <v>479</v>
      </c>
      <c r="E87" t="s">
        <v>507</v>
      </c>
      <c r="F87" t="s">
        <v>624</v>
      </c>
      <c r="G87">
        <v>2024</v>
      </c>
      <c r="H87" t="s">
        <v>396</v>
      </c>
      <c r="I87" t="s">
        <v>482</v>
      </c>
      <c r="J87" t="s">
        <v>483</v>
      </c>
      <c r="K87" t="s">
        <v>484</v>
      </c>
      <c r="L87" t="s">
        <v>485</v>
      </c>
      <c r="M87" t="s">
        <v>486</v>
      </c>
      <c r="O87" t="s">
        <v>488</v>
      </c>
      <c r="Q87" t="s">
        <v>488</v>
      </c>
      <c r="S87">
        <v>39112</v>
      </c>
      <c r="T87" t="s">
        <v>489</v>
      </c>
      <c r="U87" t="s">
        <v>490</v>
      </c>
      <c r="V87">
        <v>10.35</v>
      </c>
      <c r="W87">
        <v>2</v>
      </c>
      <c r="X87">
        <v>12554</v>
      </c>
      <c r="Z87" t="s">
        <v>491</v>
      </c>
      <c r="AA87" t="s">
        <v>491</v>
      </c>
      <c r="AC87" t="s">
        <v>491</v>
      </c>
      <c r="AD87" t="s">
        <v>492</v>
      </c>
      <c r="AE87" t="s">
        <v>492</v>
      </c>
      <c r="AF87">
        <v>2</v>
      </c>
      <c r="AG87">
        <v>2</v>
      </c>
      <c r="AH87">
        <v>0</v>
      </c>
      <c r="AI87">
        <v>0</v>
      </c>
      <c r="AJ87">
        <v>0</v>
      </c>
      <c r="AK87">
        <v>0</v>
      </c>
      <c r="AL87">
        <v>0</v>
      </c>
      <c r="AM87">
        <v>2</v>
      </c>
      <c r="AN87" t="s">
        <v>493</v>
      </c>
      <c r="AO87" t="s">
        <v>494</v>
      </c>
      <c r="AP87">
        <v>13</v>
      </c>
      <c r="AQ87" t="s">
        <v>396</v>
      </c>
      <c r="AR87" t="s">
        <v>496</v>
      </c>
      <c r="AS87">
        <v>6</v>
      </c>
      <c r="AT87" t="s">
        <v>497</v>
      </c>
      <c r="AU87" t="s">
        <v>854</v>
      </c>
      <c r="AV87" t="s">
        <v>498</v>
      </c>
      <c r="AW87" t="s">
        <v>855</v>
      </c>
      <c r="AX87">
        <v>44.797687420000003</v>
      </c>
      <c r="AY87">
        <v>-68.760163789999993</v>
      </c>
      <c r="AZ87">
        <v>5</v>
      </c>
      <c r="BA87" t="s">
        <v>597</v>
      </c>
      <c r="BB87" t="s">
        <v>501</v>
      </c>
      <c r="BC87">
        <v>3132103</v>
      </c>
      <c r="BD87">
        <v>4</v>
      </c>
      <c r="BE87" t="s">
        <v>502</v>
      </c>
      <c r="BF87" t="s">
        <v>503</v>
      </c>
      <c r="BG87" t="s">
        <v>504</v>
      </c>
      <c r="BH87" t="s">
        <v>505</v>
      </c>
      <c r="BI87">
        <v>255573</v>
      </c>
      <c r="BJ87">
        <v>0</v>
      </c>
    </row>
    <row r="88" spans="1:62" x14ac:dyDescent="0.35">
      <c r="A88" t="s">
        <v>477</v>
      </c>
      <c r="B88" t="s">
        <v>856</v>
      </c>
      <c r="C88" s="292">
        <v>45330</v>
      </c>
      <c r="D88" t="s">
        <v>479</v>
      </c>
      <c r="E88" t="s">
        <v>801</v>
      </c>
      <c r="F88" t="s">
        <v>857</v>
      </c>
      <c r="G88">
        <v>2024</v>
      </c>
      <c r="H88" t="s">
        <v>396</v>
      </c>
      <c r="I88" t="s">
        <v>532</v>
      </c>
      <c r="J88" t="s">
        <v>510</v>
      </c>
      <c r="K88" t="s">
        <v>576</v>
      </c>
      <c r="L88" t="s">
        <v>485</v>
      </c>
      <c r="M88" t="s">
        <v>486</v>
      </c>
      <c r="O88" t="s">
        <v>511</v>
      </c>
      <c r="P88" t="s">
        <v>564</v>
      </c>
      <c r="Q88" t="s">
        <v>488</v>
      </c>
      <c r="T88" t="s">
        <v>489</v>
      </c>
      <c r="U88" t="s">
        <v>490</v>
      </c>
      <c r="V88">
        <v>10.34</v>
      </c>
      <c r="W88">
        <v>2</v>
      </c>
      <c r="X88">
        <v>12872</v>
      </c>
      <c r="Y88">
        <v>25</v>
      </c>
      <c r="Z88" t="s">
        <v>491</v>
      </c>
      <c r="AA88" t="s">
        <v>491</v>
      </c>
      <c r="AC88" t="s">
        <v>491</v>
      </c>
      <c r="AD88" t="s">
        <v>492</v>
      </c>
      <c r="AE88" t="s">
        <v>492</v>
      </c>
      <c r="AF88">
        <v>2</v>
      </c>
      <c r="AG88">
        <v>2</v>
      </c>
      <c r="AH88">
        <v>0</v>
      </c>
      <c r="AI88">
        <v>0</v>
      </c>
      <c r="AJ88">
        <v>0</v>
      </c>
      <c r="AK88">
        <v>0</v>
      </c>
      <c r="AL88">
        <v>0</v>
      </c>
      <c r="AM88">
        <v>2</v>
      </c>
      <c r="AN88" t="s">
        <v>493</v>
      </c>
      <c r="AO88" t="s">
        <v>494</v>
      </c>
      <c r="AP88">
        <v>18</v>
      </c>
      <c r="AQ88" t="s">
        <v>396</v>
      </c>
      <c r="AR88" t="s">
        <v>558</v>
      </c>
      <c r="AS88">
        <v>5</v>
      </c>
      <c r="AT88" t="s">
        <v>497</v>
      </c>
      <c r="AU88" t="s">
        <v>858</v>
      </c>
      <c r="AV88" t="s">
        <v>498</v>
      </c>
      <c r="AW88" t="s">
        <v>859</v>
      </c>
      <c r="AX88">
        <v>44.797619930000003</v>
      </c>
      <c r="AY88">
        <v>-68.760290049999995</v>
      </c>
      <c r="AZ88">
        <v>2</v>
      </c>
      <c r="BA88" t="s">
        <v>675</v>
      </c>
      <c r="BB88" t="s">
        <v>501</v>
      </c>
      <c r="BC88">
        <v>4041934</v>
      </c>
      <c r="BD88">
        <v>4</v>
      </c>
      <c r="BE88" t="s">
        <v>502</v>
      </c>
      <c r="BF88" t="s">
        <v>503</v>
      </c>
      <c r="BG88" t="s">
        <v>504</v>
      </c>
      <c r="BH88" t="s">
        <v>560</v>
      </c>
      <c r="BI88">
        <v>255818</v>
      </c>
      <c r="BJ88">
        <v>0.01</v>
      </c>
    </row>
    <row r="89" spans="1:62" x14ac:dyDescent="0.35">
      <c r="A89" t="s">
        <v>477</v>
      </c>
      <c r="B89" t="s">
        <v>860</v>
      </c>
      <c r="C89" s="292">
        <v>45323</v>
      </c>
      <c r="D89" t="s">
        <v>479</v>
      </c>
      <c r="E89" t="s">
        <v>801</v>
      </c>
      <c r="F89" t="s">
        <v>861</v>
      </c>
      <c r="G89">
        <v>2024</v>
      </c>
      <c r="H89" t="s">
        <v>396</v>
      </c>
      <c r="I89" t="s">
        <v>532</v>
      </c>
      <c r="J89" t="s">
        <v>483</v>
      </c>
      <c r="K89" t="s">
        <v>484</v>
      </c>
      <c r="L89" t="s">
        <v>526</v>
      </c>
      <c r="M89" t="s">
        <v>665</v>
      </c>
      <c r="N89" t="s">
        <v>487</v>
      </c>
      <c r="O89" t="s">
        <v>518</v>
      </c>
      <c r="Q89" t="s">
        <v>488</v>
      </c>
      <c r="S89">
        <v>39690</v>
      </c>
      <c r="T89" t="s">
        <v>489</v>
      </c>
      <c r="U89" t="s">
        <v>490</v>
      </c>
      <c r="V89">
        <v>10.28</v>
      </c>
      <c r="W89">
        <v>1</v>
      </c>
      <c r="X89">
        <v>22335.5</v>
      </c>
      <c r="Z89" t="s">
        <v>491</v>
      </c>
      <c r="AA89" t="s">
        <v>491</v>
      </c>
      <c r="AC89" t="s">
        <v>491</v>
      </c>
      <c r="AD89" t="s">
        <v>492</v>
      </c>
      <c r="AE89" t="s">
        <v>492</v>
      </c>
      <c r="AF89">
        <v>2</v>
      </c>
      <c r="AG89">
        <v>2</v>
      </c>
      <c r="AH89">
        <v>0</v>
      </c>
      <c r="AI89">
        <v>0</v>
      </c>
      <c r="AJ89">
        <v>0</v>
      </c>
      <c r="AK89">
        <v>0</v>
      </c>
      <c r="AL89">
        <v>0</v>
      </c>
      <c r="AM89">
        <v>2</v>
      </c>
      <c r="AN89" t="s">
        <v>493</v>
      </c>
      <c r="AO89" t="s">
        <v>494</v>
      </c>
      <c r="AP89">
        <v>20</v>
      </c>
      <c r="AQ89" t="s">
        <v>495</v>
      </c>
      <c r="AR89" t="s">
        <v>496</v>
      </c>
      <c r="AS89">
        <v>5</v>
      </c>
      <c r="AT89" t="s">
        <v>497</v>
      </c>
      <c r="AU89" t="s">
        <v>862</v>
      </c>
      <c r="AV89" t="s">
        <v>498</v>
      </c>
      <c r="AW89" t="s">
        <v>863</v>
      </c>
      <c r="AX89">
        <v>44.797049169999987</v>
      </c>
      <c r="AY89">
        <v>-68.761350610000008</v>
      </c>
      <c r="AZ89">
        <v>2</v>
      </c>
      <c r="BA89" t="s">
        <v>675</v>
      </c>
      <c r="BB89" t="s">
        <v>501</v>
      </c>
      <c r="BC89">
        <v>4041936</v>
      </c>
      <c r="BD89">
        <v>4</v>
      </c>
      <c r="BE89" t="s">
        <v>502</v>
      </c>
      <c r="BF89" t="s">
        <v>503</v>
      </c>
      <c r="BG89" t="s">
        <v>504</v>
      </c>
      <c r="BH89" t="s">
        <v>505</v>
      </c>
      <c r="BI89">
        <v>257030</v>
      </c>
      <c r="BJ89">
        <v>0</v>
      </c>
    </row>
    <row r="90" spans="1:62" x14ac:dyDescent="0.35">
      <c r="A90" t="s">
        <v>477</v>
      </c>
      <c r="B90" t="s">
        <v>864</v>
      </c>
      <c r="C90" s="292">
        <v>45322</v>
      </c>
      <c r="D90" t="s">
        <v>479</v>
      </c>
      <c r="E90" t="s">
        <v>574</v>
      </c>
      <c r="F90" t="s">
        <v>865</v>
      </c>
      <c r="G90">
        <v>2024</v>
      </c>
      <c r="H90" t="s">
        <v>396</v>
      </c>
      <c r="I90" t="s">
        <v>482</v>
      </c>
      <c r="J90" t="s">
        <v>510</v>
      </c>
      <c r="K90" t="s">
        <v>525</v>
      </c>
      <c r="L90" t="s">
        <v>485</v>
      </c>
      <c r="M90" t="s">
        <v>486</v>
      </c>
      <c r="N90" t="s">
        <v>487</v>
      </c>
      <c r="O90" t="s">
        <v>511</v>
      </c>
      <c r="Q90" t="s">
        <v>488</v>
      </c>
      <c r="S90">
        <v>39690</v>
      </c>
      <c r="T90" t="s">
        <v>489</v>
      </c>
      <c r="U90" t="s">
        <v>490</v>
      </c>
      <c r="V90">
        <v>10.28</v>
      </c>
      <c r="W90">
        <v>1</v>
      </c>
      <c r="X90">
        <v>22335.5</v>
      </c>
      <c r="Z90" t="s">
        <v>491</v>
      </c>
      <c r="AA90" t="s">
        <v>491</v>
      </c>
      <c r="AC90" t="s">
        <v>491</v>
      </c>
      <c r="AD90" t="s">
        <v>492</v>
      </c>
      <c r="AE90" t="s">
        <v>492</v>
      </c>
      <c r="AF90">
        <v>2</v>
      </c>
      <c r="AG90">
        <v>4</v>
      </c>
      <c r="AH90">
        <v>0</v>
      </c>
      <c r="AI90">
        <v>0</v>
      </c>
      <c r="AJ90">
        <v>0</v>
      </c>
      <c r="AK90">
        <v>0</v>
      </c>
      <c r="AL90">
        <v>0</v>
      </c>
      <c r="AM90">
        <v>4</v>
      </c>
      <c r="AN90" t="s">
        <v>493</v>
      </c>
      <c r="AO90" t="s">
        <v>494</v>
      </c>
      <c r="AP90">
        <v>10</v>
      </c>
      <c r="AQ90" t="s">
        <v>527</v>
      </c>
      <c r="AR90" t="s">
        <v>496</v>
      </c>
      <c r="AS90">
        <v>4</v>
      </c>
      <c r="AT90" t="s">
        <v>497</v>
      </c>
      <c r="AU90" t="s">
        <v>866</v>
      </c>
      <c r="AV90" t="s">
        <v>498</v>
      </c>
      <c r="AW90" t="s">
        <v>867</v>
      </c>
      <c r="AX90">
        <v>44.797342489999998</v>
      </c>
      <c r="AY90">
        <v>-68.761545810000001</v>
      </c>
      <c r="AZ90">
        <v>1</v>
      </c>
      <c r="BA90" t="s">
        <v>514</v>
      </c>
      <c r="BB90" t="s">
        <v>501</v>
      </c>
      <c r="BC90">
        <v>4041936</v>
      </c>
      <c r="BD90">
        <v>4</v>
      </c>
      <c r="BE90" t="s">
        <v>502</v>
      </c>
      <c r="BF90" t="s">
        <v>503</v>
      </c>
      <c r="BG90" t="s">
        <v>504</v>
      </c>
      <c r="BH90" t="s">
        <v>505</v>
      </c>
      <c r="BI90">
        <v>257046</v>
      </c>
      <c r="BJ90">
        <v>0</v>
      </c>
    </row>
    <row r="91" spans="1:62" x14ac:dyDescent="0.35">
      <c r="A91" t="s">
        <v>477</v>
      </c>
      <c r="B91" t="s">
        <v>868</v>
      </c>
      <c r="C91" s="292">
        <v>45619</v>
      </c>
      <c r="D91" t="s">
        <v>479</v>
      </c>
      <c r="E91" t="s">
        <v>568</v>
      </c>
      <c r="F91" t="s">
        <v>869</v>
      </c>
      <c r="G91">
        <v>2024</v>
      </c>
      <c r="H91" t="s">
        <v>396</v>
      </c>
      <c r="I91" t="s">
        <v>482</v>
      </c>
      <c r="J91" t="s">
        <v>510</v>
      </c>
      <c r="K91" t="s">
        <v>484</v>
      </c>
      <c r="L91" t="s">
        <v>526</v>
      </c>
      <c r="M91" t="s">
        <v>665</v>
      </c>
      <c r="N91" t="s">
        <v>487</v>
      </c>
      <c r="O91" t="s">
        <v>609</v>
      </c>
      <c r="P91" t="s">
        <v>488</v>
      </c>
      <c r="Q91" t="s">
        <v>488</v>
      </c>
      <c r="S91">
        <v>39690</v>
      </c>
      <c r="T91" t="s">
        <v>489</v>
      </c>
      <c r="U91" t="s">
        <v>490</v>
      </c>
      <c r="V91">
        <v>10.28</v>
      </c>
      <c r="W91">
        <v>1</v>
      </c>
      <c r="X91">
        <v>22335.5</v>
      </c>
      <c r="Z91" t="s">
        <v>491</v>
      </c>
      <c r="AA91" t="s">
        <v>491</v>
      </c>
      <c r="AC91" t="s">
        <v>491</v>
      </c>
      <c r="AD91" t="s">
        <v>492</v>
      </c>
      <c r="AE91" t="s">
        <v>492</v>
      </c>
      <c r="AF91">
        <v>2</v>
      </c>
      <c r="AG91">
        <v>2</v>
      </c>
      <c r="AH91">
        <v>0</v>
      </c>
      <c r="AI91">
        <v>0</v>
      </c>
      <c r="AJ91">
        <v>0</v>
      </c>
      <c r="AK91">
        <v>0</v>
      </c>
      <c r="AL91">
        <v>0</v>
      </c>
      <c r="AM91">
        <v>2</v>
      </c>
      <c r="AN91" t="s">
        <v>493</v>
      </c>
      <c r="AO91" t="s">
        <v>494</v>
      </c>
      <c r="AP91">
        <v>15</v>
      </c>
      <c r="AQ91" t="s">
        <v>495</v>
      </c>
      <c r="AR91" t="s">
        <v>496</v>
      </c>
      <c r="AS91">
        <v>7</v>
      </c>
      <c r="AT91" t="s">
        <v>497</v>
      </c>
      <c r="AU91" t="s">
        <v>868</v>
      </c>
      <c r="AV91" t="s">
        <v>498</v>
      </c>
      <c r="AW91" t="s">
        <v>870</v>
      </c>
      <c r="AX91">
        <v>44.797049169999987</v>
      </c>
      <c r="AY91">
        <v>-68.761350610000008</v>
      </c>
      <c r="AZ91">
        <v>11</v>
      </c>
      <c r="BA91" t="s">
        <v>551</v>
      </c>
      <c r="BB91" t="s">
        <v>501</v>
      </c>
      <c r="BC91">
        <v>4041936</v>
      </c>
      <c r="BD91">
        <v>4</v>
      </c>
      <c r="BE91" t="s">
        <v>502</v>
      </c>
      <c r="BF91" t="s">
        <v>503</v>
      </c>
      <c r="BG91" t="s">
        <v>504</v>
      </c>
      <c r="BH91" t="s">
        <v>505</v>
      </c>
      <c r="BI91">
        <v>258009</v>
      </c>
      <c r="BJ91">
        <v>0</v>
      </c>
    </row>
    <row r="92" spans="1:62" x14ac:dyDescent="0.35">
      <c r="A92" t="s">
        <v>477</v>
      </c>
      <c r="B92" t="s">
        <v>871</v>
      </c>
      <c r="C92" s="292">
        <v>43664</v>
      </c>
      <c r="D92" t="s">
        <v>479</v>
      </c>
      <c r="E92" t="s">
        <v>516</v>
      </c>
      <c r="F92" t="s">
        <v>872</v>
      </c>
      <c r="G92">
        <v>2019</v>
      </c>
      <c r="H92" t="s">
        <v>396</v>
      </c>
      <c r="I92" t="s">
        <v>482</v>
      </c>
      <c r="J92" t="s">
        <v>510</v>
      </c>
      <c r="K92" t="s">
        <v>556</v>
      </c>
      <c r="L92" t="s">
        <v>485</v>
      </c>
      <c r="M92" t="s">
        <v>486</v>
      </c>
      <c r="N92" t="s">
        <v>487</v>
      </c>
      <c r="O92" t="s">
        <v>488</v>
      </c>
      <c r="Q92" t="s">
        <v>511</v>
      </c>
      <c r="R92" t="s">
        <v>511</v>
      </c>
      <c r="T92" t="s">
        <v>489</v>
      </c>
      <c r="U92" t="s">
        <v>490</v>
      </c>
      <c r="V92">
        <v>10.29</v>
      </c>
      <c r="W92">
        <v>2</v>
      </c>
      <c r="X92">
        <v>4201</v>
      </c>
      <c r="Y92">
        <v>25</v>
      </c>
      <c r="Z92" t="s">
        <v>491</v>
      </c>
      <c r="AA92" t="s">
        <v>491</v>
      </c>
      <c r="AB92" t="s">
        <v>491</v>
      </c>
      <c r="AC92" t="s">
        <v>491</v>
      </c>
      <c r="AD92" t="s">
        <v>492</v>
      </c>
      <c r="AE92" t="s">
        <v>492</v>
      </c>
      <c r="AF92">
        <v>3</v>
      </c>
      <c r="AG92">
        <v>3</v>
      </c>
      <c r="AH92">
        <v>0</v>
      </c>
      <c r="AI92">
        <v>0</v>
      </c>
      <c r="AJ92">
        <v>0</v>
      </c>
      <c r="AK92">
        <v>0</v>
      </c>
      <c r="AL92">
        <v>0</v>
      </c>
      <c r="AM92">
        <v>3</v>
      </c>
      <c r="AN92" t="s">
        <v>493</v>
      </c>
      <c r="AO92" t="s">
        <v>494</v>
      </c>
      <c r="AP92">
        <v>16</v>
      </c>
      <c r="AQ92" t="s">
        <v>495</v>
      </c>
      <c r="AR92" t="s">
        <v>558</v>
      </c>
      <c r="AS92">
        <v>5</v>
      </c>
      <c r="AT92" t="s">
        <v>497</v>
      </c>
      <c r="AU92" t="s">
        <v>871</v>
      </c>
      <c r="AV92" t="s">
        <v>498</v>
      </c>
      <c r="AW92" t="s">
        <v>873</v>
      </c>
      <c r="AX92">
        <v>44.797089980000003</v>
      </c>
      <c r="AY92">
        <v>-68.761200860000002</v>
      </c>
      <c r="AZ92">
        <v>7</v>
      </c>
      <c r="BA92" t="s">
        <v>500</v>
      </c>
      <c r="BB92" t="s">
        <v>501</v>
      </c>
      <c r="BC92">
        <v>4041942</v>
      </c>
      <c r="BD92">
        <v>4</v>
      </c>
      <c r="BE92" t="s">
        <v>502</v>
      </c>
      <c r="BF92" t="s">
        <v>503</v>
      </c>
      <c r="BG92" t="s">
        <v>504</v>
      </c>
      <c r="BH92" t="s">
        <v>560</v>
      </c>
      <c r="BI92">
        <v>259500</v>
      </c>
      <c r="BJ92">
        <v>0.02</v>
      </c>
    </row>
    <row r="93" spans="1:62" x14ac:dyDescent="0.35">
      <c r="A93" t="s">
        <v>477</v>
      </c>
      <c r="B93" t="s">
        <v>874</v>
      </c>
      <c r="C93" s="292">
        <v>44340</v>
      </c>
      <c r="D93" t="s">
        <v>479</v>
      </c>
      <c r="E93" t="s">
        <v>523</v>
      </c>
      <c r="F93" t="s">
        <v>875</v>
      </c>
      <c r="G93">
        <v>2021</v>
      </c>
      <c r="H93" t="s">
        <v>396</v>
      </c>
      <c r="I93" t="s">
        <v>482</v>
      </c>
      <c r="J93" t="s">
        <v>483</v>
      </c>
      <c r="K93" t="s">
        <v>484</v>
      </c>
      <c r="L93" t="s">
        <v>485</v>
      </c>
      <c r="M93" t="s">
        <v>486</v>
      </c>
      <c r="N93" t="s">
        <v>487</v>
      </c>
      <c r="O93" t="s">
        <v>518</v>
      </c>
      <c r="Q93" t="s">
        <v>488</v>
      </c>
      <c r="S93">
        <v>39690</v>
      </c>
      <c r="T93" t="s">
        <v>489</v>
      </c>
      <c r="U93" t="s">
        <v>490</v>
      </c>
      <c r="V93">
        <v>10.28</v>
      </c>
      <c r="W93">
        <v>1</v>
      </c>
      <c r="X93">
        <v>22335.5</v>
      </c>
      <c r="Z93" t="s">
        <v>491</v>
      </c>
      <c r="AA93" t="s">
        <v>491</v>
      </c>
      <c r="AB93" t="s">
        <v>491</v>
      </c>
      <c r="AC93" t="s">
        <v>491</v>
      </c>
      <c r="AD93" t="s">
        <v>492</v>
      </c>
      <c r="AE93" t="s">
        <v>492</v>
      </c>
      <c r="AF93">
        <v>2</v>
      </c>
      <c r="AG93">
        <v>2</v>
      </c>
      <c r="AH93">
        <v>0</v>
      </c>
      <c r="AI93">
        <v>0</v>
      </c>
      <c r="AJ93">
        <v>0</v>
      </c>
      <c r="AK93">
        <v>0</v>
      </c>
      <c r="AL93">
        <v>0</v>
      </c>
      <c r="AM93">
        <v>2</v>
      </c>
      <c r="AN93" t="s">
        <v>493</v>
      </c>
      <c r="AO93" t="s">
        <v>494</v>
      </c>
      <c r="AP93">
        <v>7</v>
      </c>
      <c r="AQ93" t="s">
        <v>876</v>
      </c>
      <c r="AR93" t="s">
        <v>496</v>
      </c>
      <c r="AS93">
        <v>2</v>
      </c>
      <c r="AT93" t="s">
        <v>497</v>
      </c>
      <c r="AU93" t="s">
        <v>874</v>
      </c>
      <c r="AV93" t="s">
        <v>498</v>
      </c>
      <c r="AW93" t="s">
        <v>877</v>
      </c>
      <c r="AX93">
        <v>44.797049169999987</v>
      </c>
      <c r="AY93">
        <v>-68.761350610000008</v>
      </c>
      <c r="AZ93">
        <v>5</v>
      </c>
      <c r="BA93" t="s">
        <v>597</v>
      </c>
      <c r="BB93" t="s">
        <v>501</v>
      </c>
      <c r="BC93">
        <v>4041936</v>
      </c>
      <c r="BD93">
        <v>4</v>
      </c>
      <c r="BE93" t="s">
        <v>502</v>
      </c>
      <c r="BF93" t="s">
        <v>503</v>
      </c>
      <c r="BG93" t="s">
        <v>504</v>
      </c>
      <c r="BH93" t="s">
        <v>505</v>
      </c>
      <c r="BI93">
        <v>260240</v>
      </c>
      <c r="BJ93">
        <v>0</v>
      </c>
    </row>
    <row r="94" spans="1:62" x14ac:dyDescent="0.35">
      <c r="A94" t="s">
        <v>477</v>
      </c>
      <c r="B94" t="s">
        <v>878</v>
      </c>
      <c r="C94" s="292">
        <v>44155</v>
      </c>
      <c r="D94" t="s">
        <v>479</v>
      </c>
      <c r="E94" t="s">
        <v>549</v>
      </c>
      <c r="F94" t="s">
        <v>879</v>
      </c>
      <c r="G94">
        <v>2020</v>
      </c>
      <c r="H94" t="s">
        <v>396</v>
      </c>
      <c r="I94" t="s">
        <v>482</v>
      </c>
      <c r="J94" t="s">
        <v>510</v>
      </c>
      <c r="K94" t="s">
        <v>484</v>
      </c>
      <c r="L94" t="s">
        <v>485</v>
      </c>
      <c r="M94" t="s">
        <v>563</v>
      </c>
      <c r="N94" t="s">
        <v>487</v>
      </c>
      <c r="O94" t="s">
        <v>511</v>
      </c>
      <c r="Q94" t="s">
        <v>488</v>
      </c>
      <c r="S94">
        <v>39690</v>
      </c>
      <c r="T94" t="s">
        <v>489</v>
      </c>
      <c r="U94" t="s">
        <v>490</v>
      </c>
      <c r="V94">
        <v>10.28</v>
      </c>
      <c r="W94">
        <v>1</v>
      </c>
      <c r="X94">
        <v>22335.5</v>
      </c>
      <c r="Z94" t="s">
        <v>491</v>
      </c>
      <c r="AA94" t="s">
        <v>491</v>
      </c>
      <c r="AB94" t="s">
        <v>491</v>
      </c>
      <c r="AC94" t="s">
        <v>491</v>
      </c>
      <c r="AD94" t="s">
        <v>492</v>
      </c>
      <c r="AE94" t="s">
        <v>492</v>
      </c>
      <c r="AF94">
        <v>2</v>
      </c>
      <c r="AG94">
        <v>2</v>
      </c>
      <c r="AH94">
        <v>0</v>
      </c>
      <c r="AI94">
        <v>0</v>
      </c>
      <c r="AJ94">
        <v>0</v>
      </c>
      <c r="AK94">
        <v>0</v>
      </c>
      <c r="AL94">
        <v>0</v>
      </c>
      <c r="AM94">
        <v>2</v>
      </c>
      <c r="AN94" t="s">
        <v>493</v>
      </c>
      <c r="AO94" t="s">
        <v>494</v>
      </c>
      <c r="AP94">
        <v>8</v>
      </c>
      <c r="AQ94" t="s">
        <v>495</v>
      </c>
      <c r="AR94" t="s">
        <v>496</v>
      </c>
      <c r="AS94">
        <v>6</v>
      </c>
      <c r="AT94" t="s">
        <v>497</v>
      </c>
      <c r="AU94" t="s">
        <v>878</v>
      </c>
      <c r="AV94" t="s">
        <v>498</v>
      </c>
      <c r="AW94" t="s">
        <v>880</v>
      </c>
      <c r="AX94">
        <v>44.797049169999987</v>
      </c>
      <c r="AY94">
        <v>-68.761350610000008</v>
      </c>
      <c r="AZ94">
        <v>11</v>
      </c>
      <c r="BA94" t="s">
        <v>551</v>
      </c>
      <c r="BB94" t="s">
        <v>501</v>
      </c>
      <c r="BC94">
        <v>4041936</v>
      </c>
      <c r="BD94">
        <v>4</v>
      </c>
      <c r="BE94" t="s">
        <v>502</v>
      </c>
      <c r="BF94" t="s">
        <v>503</v>
      </c>
      <c r="BG94" t="s">
        <v>504</v>
      </c>
      <c r="BH94" t="s">
        <v>505</v>
      </c>
      <c r="BI94">
        <v>262101</v>
      </c>
      <c r="BJ94">
        <v>0</v>
      </c>
    </row>
    <row r="95" spans="1:62" x14ac:dyDescent="0.35">
      <c r="A95" t="s">
        <v>477</v>
      </c>
      <c r="B95" t="s">
        <v>881</v>
      </c>
      <c r="C95" s="292">
        <v>44098</v>
      </c>
      <c r="D95" t="s">
        <v>479</v>
      </c>
      <c r="E95" t="s">
        <v>516</v>
      </c>
      <c r="F95" t="s">
        <v>882</v>
      </c>
      <c r="G95">
        <v>2020</v>
      </c>
      <c r="H95" t="s">
        <v>396</v>
      </c>
      <c r="I95" t="s">
        <v>482</v>
      </c>
      <c r="J95" t="s">
        <v>510</v>
      </c>
      <c r="K95" t="s">
        <v>484</v>
      </c>
      <c r="L95" t="s">
        <v>485</v>
      </c>
      <c r="M95" t="s">
        <v>486</v>
      </c>
      <c r="N95" t="s">
        <v>487</v>
      </c>
      <c r="O95" t="s">
        <v>511</v>
      </c>
      <c r="Q95" t="s">
        <v>488</v>
      </c>
      <c r="S95">
        <v>39690</v>
      </c>
      <c r="T95" t="s">
        <v>489</v>
      </c>
      <c r="U95" t="s">
        <v>490</v>
      </c>
      <c r="V95">
        <v>10.28</v>
      </c>
      <c r="W95">
        <v>1</v>
      </c>
      <c r="X95">
        <v>22335.5</v>
      </c>
      <c r="Z95" t="s">
        <v>491</v>
      </c>
      <c r="AA95" t="s">
        <v>491</v>
      </c>
      <c r="AB95" t="s">
        <v>491</v>
      </c>
      <c r="AC95" t="s">
        <v>491</v>
      </c>
      <c r="AD95" t="s">
        <v>492</v>
      </c>
      <c r="AE95" t="s">
        <v>492</v>
      </c>
      <c r="AF95">
        <v>2</v>
      </c>
      <c r="AG95">
        <v>3</v>
      </c>
      <c r="AH95">
        <v>0</v>
      </c>
      <c r="AI95">
        <v>0</v>
      </c>
      <c r="AJ95">
        <v>0</v>
      </c>
      <c r="AK95">
        <v>0</v>
      </c>
      <c r="AL95">
        <v>0</v>
      </c>
      <c r="AM95">
        <v>3</v>
      </c>
      <c r="AN95" t="s">
        <v>493</v>
      </c>
      <c r="AO95" t="s">
        <v>494</v>
      </c>
      <c r="AP95">
        <v>13</v>
      </c>
      <c r="AQ95" t="s">
        <v>495</v>
      </c>
      <c r="AR95" t="s">
        <v>496</v>
      </c>
      <c r="AS95">
        <v>5</v>
      </c>
      <c r="AT95" t="s">
        <v>497</v>
      </c>
      <c r="AU95" t="s">
        <v>881</v>
      </c>
      <c r="AV95" t="s">
        <v>498</v>
      </c>
      <c r="AW95" t="s">
        <v>883</v>
      </c>
      <c r="AX95">
        <v>44.797049169999987</v>
      </c>
      <c r="AY95">
        <v>-68.761350610000008</v>
      </c>
      <c r="AZ95">
        <v>9</v>
      </c>
      <c r="BA95" t="s">
        <v>601</v>
      </c>
      <c r="BB95" t="s">
        <v>501</v>
      </c>
      <c r="BC95">
        <v>4041936</v>
      </c>
      <c r="BD95">
        <v>4</v>
      </c>
      <c r="BE95" t="s">
        <v>502</v>
      </c>
      <c r="BF95" t="s">
        <v>503</v>
      </c>
      <c r="BG95" t="s">
        <v>504</v>
      </c>
      <c r="BH95" t="s">
        <v>505</v>
      </c>
      <c r="BI95">
        <v>265505</v>
      </c>
      <c r="BJ95">
        <v>0</v>
      </c>
    </row>
    <row r="96" spans="1:62" x14ac:dyDescent="0.35">
      <c r="A96" t="s">
        <v>477</v>
      </c>
      <c r="B96" t="s">
        <v>884</v>
      </c>
      <c r="C96" s="292">
        <v>43938</v>
      </c>
      <c r="D96" t="s">
        <v>479</v>
      </c>
      <c r="E96" t="s">
        <v>549</v>
      </c>
      <c r="F96" t="s">
        <v>885</v>
      </c>
      <c r="G96">
        <v>2020</v>
      </c>
      <c r="H96" t="s">
        <v>396</v>
      </c>
      <c r="I96" t="s">
        <v>482</v>
      </c>
      <c r="J96" t="s">
        <v>510</v>
      </c>
      <c r="K96" t="s">
        <v>556</v>
      </c>
      <c r="L96" t="s">
        <v>485</v>
      </c>
      <c r="M96" t="s">
        <v>486</v>
      </c>
      <c r="O96" t="s">
        <v>609</v>
      </c>
      <c r="P96" t="s">
        <v>609</v>
      </c>
      <c r="Q96" t="s">
        <v>488</v>
      </c>
      <c r="T96" t="s">
        <v>489</v>
      </c>
      <c r="U96" t="s">
        <v>490</v>
      </c>
      <c r="V96">
        <v>10.34</v>
      </c>
      <c r="W96">
        <v>2</v>
      </c>
      <c r="X96">
        <v>12872</v>
      </c>
      <c r="Y96">
        <v>25</v>
      </c>
      <c r="Z96" t="s">
        <v>491</v>
      </c>
      <c r="AA96" t="s">
        <v>491</v>
      </c>
      <c r="AB96" t="s">
        <v>491</v>
      </c>
      <c r="AC96" t="s">
        <v>491</v>
      </c>
      <c r="AD96" t="s">
        <v>492</v>
      </c>
      <c r="AE96" t="s">
        <v>492</v>
      </c>
      <c r="AF96">
        <v>2</v>
      </c>
      <c r="AG96">
        <v>6</v>
      </c>
      <c r="AH96">
        <v>1</v>
      </c>
      <c r="AI96">
        <v>0</v>
      </c>
      <c r="AJ96">
        <v>0</v>
      </c>
      <c r="AK96">
        <v>0</v>
      </c>
      <c r="AL96">
        <v>1</v>
      </c>
      <c r="AM96">
        <v>5</v>
      </c>
      <c r="AN96" t="s">
        <v>519</v>
      </c>
      <c r="AO96" t="s">
        <v>494</v>
      </c>
      <c r="AP96">
        <v>20</v>
      </c>
      <c r="AQ96" t="s">
        <v>396</v>
      </c>
      <c r="AR96" t="s">
        <v>558</v>
      </c>
      <c r="AS96">
        <v>6</v>
      </c>
      <c r="AT96" t="s">
        <v>497</v>
      </c>
      <c r="AU96" t="s">
        <v>884</v>
      </c>
      <c r="AV96" t="s">
        <v>498</v>
      </c>
      <c r="AW96" t="s">
        <v>886</v>
      </c>
      <c r="AX96">
        <v>44.797635769999999</v>
      </c>
      <c r="AY96">
        <v>-68.760260419999994</v>
      </c>
      <c r="AZ96">
        <v>4</v>
      </c>
      <c r="BA96" t="s">
        <v>606</v>
      </c>
      <c r="BB96" t="s">
        <v>501</v>
      </c>
      <c r="BC96">
        <v>4041934</v>
      </c>
      <c r="BD96">
        <v>4</v>
      </c>
      <c r="BE96" t="s">
        <v>502</v>
      </c>
      <c r="BF96" t="s">
        <v>503</v>
      </c>
      <c r="BG96" t="s">
        <v>504</v>
      </c>
      <c r="BH96" t="s">
        <v>560</v>
      </c>
      <c r="BI96">
        <v>268765</v>
      </c>
      <c r="BJ96">
        <v>0.01</v>
      </c>
    </row>
    <row r="97" spans="1:62" x14ac:dyDescent="0.35">
      <c r="A97" t="s">
        <v>477</v>
      </c>
      <c r="B97" t="s">
        <v>887</v>
      </c>
      <c r="C97" s="292">
        <v>43966</v>
      </c>
      <c r="D97" t="s">
        <v>479</v>
      </c>
      <c r="E97" t="s">
        <v>549</v>
      </c>
      <c r="F97" t="s">
        <v>888</v>
      </c>
      <c r="G97">
        <v>2020</v>
      </c>
      <c r="H97" t="s">
        <v>396</v>
      </c>
      <c r="I97" t="s">
        <v>482</v>
      </c>
      <c r="J97" t="s">
        <v>483</v>
      </c>
      <c r="K97" t="s">
        <v>484</v>
      </c>
      <c r="L97" t="s">
        <v>485</v>
      </c>
      <c r="M97" t="s">
        <v>563</v>
      </c>
      <c r="N97" t="s">
        <v>487</v>
      </c>
      <c r="O97" t="s">
        <v>488</v>
      </c>
      <c r="Q97" t="s">
        <v>488</v>
      </c>
      <c r="S97">
        <v>39690</v>
      </c>
      <c r="T97" t="s">
        <v>489</v>
      </c>
      <c r="U97" t="s">
        <v>490</v>
      </c>
      <c r="V97">
        <v>10.28</v>
      </c>
      <c r="W97">
        <v>1</v>
      </c>
      <c r="X97">
        <v>22335.5</v>
      </c>
      <c r="Z97" t="s">
        <v>491</v>
      </c>
      <c r="AA97" t="s">
        <v>491</v>
      </c>
      <c r="AB97" t="s">
        <v>491</v>
      </c>
      <c r="AC97" t="s">
        <v>491</v>
      </c>
      <c r="AD97" t="s">
        <v>492</v>
      </c>
      <c r="AE97" t="s">
        <v>492</v>
      </c>
      <c r="AF97">
        <v>2</v>
      </c>
      <c r="AG97">
        <v>5</v>
      </c>
      <c r="AH97">
        <v>0</v>
      </c>
      <c r="AI97">
        <v>0</v>
      </c>
      <c r="AJ97">
        <v>0</v>
      </c>
      <c r="AK97">
        <v>0</v>
      </c>
      <c r="AL97">
        <v>0</v>
      </c>
      <c r="AM97">
        <v>5</v>
      </c>
      <c r="AN97" t="s">
        <v>493</v>
      </c>
      <c r="AO97" t="s">
        <v>494</v>
      </c>
      <c r="AP97">
        <v>13</v>
      </c>
      <c r="AQ97" t="s">
        <v>495</v>
      </c>
      <c r="AR97" t="s">
        <v>496</v>
      </c>
      <c r="AS97">
        <v>6</v>
      </c>
      <c r="AT97" t="s">
        <v>497</v>
      </c>
      <c r="AU97" t="s">
        <v>887</v>
      </c>
      <c r="AV97" t="s">
        <v>498</v>
      </c>
      <c r="AW97" t="s">
        <v>889</v>
      </c>
      <c r="AX97">
        <v>44.797049169999987</v>
      </c>
      <c r="AY97">
        <v>-68.761350610000008</v>
      </c>
      <c r="AZ97">
        <v>5</v>
      </c>
      <c r="BA97" t="s">
        <v>597</v>
      </c>
      <c r="BB97" t="s">
        <v>501</v>
      </c>
      <c r="BC97">
        <v>4041936</v>
      </c>
      <c r="BD97">
        <v>4</v>
      </c>
      <c r="BE97" t="s">
        <v>502</v>
      </c>
      <c r="BF97" t="s">
        <v>503</v>
      </c>
      <c r="BG97" t="s">
        <v>504</v>
      </c>
      <c r="BH97" t="s">
        <v>505</v>
      </c>
      <c r="BI97">
        <v>269187</v>
      </c>
      <c r="BJ97">
        <v>0</v>
      </c>
    </row>
    <row r="98" spans="1:62" x14ac:dyDescent="0.35">
      <c r="A98" t="s">
        <v>477</v>
      </c>
      <c r="B98" t="s">
        <v>890</v>
      </c>
      <c r="C98" s="292">
        <v>43730</v>
      </c>
      <c r="D98" t="s">
        <v>479</v>
      </c>
      <c r="E98" t="s">
        <v>594</v>
      </c>
      <c r="F98" t="s">
        <v>891</v>
      </c>
      <c r="G98">
        <v>2019</v>
      </c>
      <c r="H98" t="s">
        <v>396</v>
      </c>
      <c r="I98" t="s">
        <v>532</v>
      </c>
      <c r="J98" t="s">
        <v>483</v>
      </c>
      <c r="K98" t="s">
        <v>484</v>
      </c>
      <c r="L98" t="s">
        <v>485</v>
      </c>
      <c r="M98" t="s">
        <v>486</v>
      </c>
      <c r="N98" t="s">
        <v>487</v>
      </c>
      <c r="O98" t="s">
        <v>518</v>
      </c>
      <c r="P98" t="s">
        <v>553</v>
      </c>
      <c r="Q98" t="s">
        <v>488</v>
      </c>
      <c r="S98">
        <v>39690</v>
      </c>
      <c r="T98" t="s">
        <v>489</v>
      </c>
      <c r="U98" t="s">
        <v>490</v>
      </c>
      <c r="V98">
        <v>10.28</v>
      </c>
      <c r="W98">
        <v>1</v>
      </c>
      <c r="X98">
        <v>22335.5</v>
      </c>
      <c r="Z98" t="s">
        <v>491</v>
      </c>
      <c r="AA98" t="s">
        <v>491</v>
      </c>
      <c r="AB98" t="s">
        <v>491</v>
      </c>
      <c r="AC98" t="s">
        <v>491</v>
      </c>
      <c r="AD98" t="s">
        <v>492</v>
      </c>
      <c r="AE98" t="s">
        <v>492</v>
      </c>
      <c r="AF98">
        <v>2</v>
      </c>
      <c r="AG98">
        <v>3</v>
      </c>
      <c r="AH98">
        <v>0</v>
      </c>
      <c r="AI98">
        <v>0</v>
      </c>
      <c r="AJ98">
        <v>0</v>
      </c>
      <c r="AK98">
        <v>0</v>
      </c>
      <c r="AL98">
        <v>0</v>
      </c>
      <c r="AM98">
        <v>3</v>
      </c>
      <c r="AN98" t="s">
        <v>493</v>
      </c>
      <c r="AO98" t="s">
        <v>494</v>
      </c>
      <c r="AP98">
        <v>20</v>
      </c>
      <c r="AQ98" t="s">
        <v>495</v>
      </c>
      <c r="AR98" t="s">
        <v>496</v>
      </c>
      <c r="AS98">
        <v>1</v>
      </c>
      <c r="AT98" t="s">
        <v>497</v>
      </c>
      <c r="AU98" t="s">
        <v>890</v>
      </c>
      <c r="AV98" t="s">
        <v>498</v>
      </c>
      <c r="AW98" t="s">
        <v>892</v>
      </c>
      <c r="AX98">
        <v>44.797049169999987</v>
      </c>
      <c r="AY98">
        <v>-68.761350610000008</v>
      </c>
      <c r="AZ98">
        <v>9</v>
      </c>
      <c r="BA98" t="s">
        <v>601</v>
      </c>
      <c r="BB98" t="s">
        <v>501</v>
      </c>
      <c r="BC98">
        <v>4041936</v>
      </c>
      <c r="BD98">
        <v>4</v>
      </c>
      <c r="BE98" t="s">
        <v>502</v>
      </c>
      <c r="BF98" t="s">
        <v>503</v>
      </c>
      <c r="BG98" t="s">
        <v>504</v>
      </c>
      <c r="BH98" t="s">
        <v>505</v>
      </c>
      <c r="BI98">
        <v>278114</v>
      </c>
      <c r="BJ98">
        <v>0</v>
      </c>
    </row>
    <row r="99" spans="1:62" x14ac:dyDescent="0.35">
      <c r="A99" t="s">
        <v>477</v>
      </c>
      <c r="B99" t="s">
        <v>893</v>
      </c>
      <c r="C99" s="292">
        <v>45908</v>
      </c>
      <c r="D99" t="s">
        <v>479</v>
      </c>
      <c r="E99" t="s">
        <v>536</v>
      </c>
      <c r="F99" t="s">
        <v>894</v>
      </c>
      <c r="G99">
        <v>2025</v>
      </c>
      <c r="H99" t="s">
        <v>396</v>
      </c>
      <c r="I99" t="s">
        <v>482</v>
      </c>
      <c r="J99" t="s">
        <v>483</v>
      </c>
      <c r="K99" t="s">
        <v>484</v>
      </c>
      <c r="L99" t="s">
        <v>485</v>
      </c>
      <c r="M99" t="s">
        <v>486</v>
      </c>
      <c r="N99" t="s">
        <v>487</v>
      </c>
      <c r="O99" t="s">
        <v>518</v>
      </c>
      <c r="Q99" t="s">
        <v>488</v>
      </c>
      <c r="S99">
        <v>39690</v>
      </c>
      <c r="T99" t="s">
        <v>489</v>
      </c>
      <c r="U99" t="s">
        <v>490</v>
      </c>
      <c r="V99">
        <v>10.28</v>
      </c>
      <c r="W99">
        <v>1</v>
      </c>
      <c r="X99">
        <v>22335.5</v>
      </c>
      <c r="Z99" t="s">
        <v>491</v>
      </c>
      <c r="AA99" t="s">
        <v>491</v>
      </c>
      <c r="AC99" t="s">
        <v>491</v>
      </c>
      <c r="AD99" t="s">
        <v>492</v>
      </c>
      <c r="AE99" t="s">
        <v>492</v>
      </c>
      <c r="AF99">
        <v>2</v>
      </c>
      <c r="AG99">
        <v>2</v>
      </c>
      <c r="AH99">
        <v>0</v>
      </c>
      <c r="AI99">
        <v>0</v>
      </c>
      <c r="AJ99">
        <v>0</v>
      </c>
      <c r="AK99">
        <v>0</v>
      </c>
      <c r="AL99">
        <v>0</v>
      </c>
      <c r="AM99">
        <v>2</v>
      </c>
      <c r="AN99" t="s">
        <v>493</v>
      </c>
      <c r="AO99" t="s">
        <v>494</v>
      </c>
      <c r="AP99">
        <v>10</v>
      </c>
      <c r="AQ99" t="s">
        <v>495</v>
      </c>
      <c r="AR99" t="s">
        <v>496</v>
      </c>
      <c r="AS99">
        <v>2</v>
      </c>
      <c r="AT99" t="s">
        <v>497</v>
      </c>
      <c r="AU99" t="s">
        <v>893</v>
      </c>
      <c r="AV99" t="s">
        <v>498</v>
      </c>
      <c r="AW99" t="s">
        <v>895</v>
      </c>
      <c r="AX99">
        <v>44.797049169999987</v>
      </c>
      <c r="AY99">
        <v>-68.761350610000008</v>
      </c>
      <c r="AZ99">
        <v>9</v>
      </c>
      <c r="BA99" t="s">
        <v>601</v>
      </c>
      <c r="BB99" t="s">
        <v>501</v>
      </c>
      <c r="BC99">
        <v>4041936</v>
      </c>
      <c r="BD99">
        <v>4</v>
      </c>
      <c r="BE99" t="s">
        <v>502</v>
      </c>
      <c r="BF99" t="s">
        <v>503</v>
      </c>
      <c r="BG99" t="s">
        <v>504</v>
      </c>
      <c r="BH99" t="s">
        <v>505</v>
      </c>
      <c r="BI99">
        <v>279592</v>
      </c>
      <c r="BJ99">
        <v>0</v>
      </c>
    </row>
    <row r="100" spans="1:62" x14ac:dyDescent="0.35">
      <c r="A100" t="s">
        <v>477</v>
      </c>
      <c r="B100" t="s">
        <v>897</v>
      </c>
      <c r="C100" s="292">
        <v>44181</v>
      </c>
      <c r="D100" t="s">
        <v>479</v>
      </c>
      <c r="E100" t="s">
        <v>574</v>
      </c>
      <c r="F100" t="s">
        <v>772</v>
      </c>
      <c r="G100">
        <v>2020</v>
      </c>
      <c r="H100" t="s">
        <v>396</v>
      </c>
      <c r="I100" t="s">
        <v>482</v>
      </c>
      <c r="J100" t="s">
        <v>483</v>
      </c>
      <c r="K100" t="s">
        <v>484</v>
      </c>
      <c r="L100" t="s">
        <v>485</v>
      </c>
      <c r="M100" t="s">
        <v>486</v>
      </c>
      <c r="N100" t="s">
        <v>487</v>
      </c>
      <c r="O100" t="s">
        <v>496</v>
      </c>
      <c r="Q100" t="s">
        <v>488</v>
      </c>
      <c r="S100">
        <v>39690</v>
      </c>
      <c r="T100" t="s">
        <v>489</v>
      </c>
      <c r="U100" t="s">
        <v>490</v>
      </c>
      <c r="V100">
        <v>10.28</v>
      </c>
      <c r="W100">
        <v>1</v>
      </c>
      <c r="X100">
        <v>22335.5</v>
      </c>
      <c r="Z100" t="s">
        <v>491</v>
      </c>
      <c r="AA100" t="s">
        <v>491</v>
      </c>
      <c r="AB100" t="s">
        <v>491</v>
      </c>
      <c r="AC100" t="s">
        <v>491</v>
      </c>
      <c r="AD100" t="s">
        <v>492</v>
      </c>
      <c r="AE100" t="s">
        <v>492</v>
      </c>
      <c r="AF100">
        <v>2</v>
      </c>
      <c r="AG100">
        <v>2</v>
      </c>
      <c r="AH100">
        <v>0</v>
      </c>
      <c r="AI100">
        <v>0</v>
      </c>
      <c r="AJ100">
        <v>0</v>
      </c>
      <c r="AK100">
        <v>0</v>
      </c>
      <c r="AL100">
        <v>0</v>
      </c>
      <c r="AM100">
        <v>2</v>
      </c>
      <c r="AN100" t="s">
        <v>493</v>
      </c>
      <c r="AO100" t="s">
        <v>494</v>
      </c>
      <c r="AP100">
        <v>8</v>
      </c>
      <c r="AQ100" t="s">
        <v>495</v>
      </c>
      <c r="AR100" t="s">
        <v>496</v>
      </c>
      <c r="AS100">
        <v>4</v>
      </c>
      <c r="AT100" t="s">
        <v>497</v>
      </c>
      <c r="AU100" t="s">
        <v>897</v>
      </c>
      <c r="AV100" t="s">
        <v>498</v>
      </c>
      <c r="AW100" t="s">
        <v>898</v>
      </c>
      <c r="AX100">
        <v>44.797049169999987</v>
      </c>
      <c r="AY100">
        <v>-68.761350610000008</v>
      </c>
      <c r="AZ100">
        <v>12</v>
      </c>
      <c r="BA100" t="s">
        <v>534</v>
      </c>
      <c r="BB100" t="s">
        <v>501</v>
      </c>
      <c r="BC100">
        <v>4041936</v>
      </c>
      <c r="BD100">
        <v>4</v>
      </c>
      <c r="BE100" t="s">
        <v>502</v>
      </c>
      <c r="BF100" t="s">
        <v>503</v>
      </c>
      <c r="BG100" t="s">
        <v>504</v>
      </c>
      <c r="BH100" t="s">
        <v>505</v>
      </c>
      <c r="BI100">
        <v>283727</v>
      </c>
      <c r="BJ100">
        <v>0</v>
      </c>
    </row>
    <row r="101" spans="1:62" x14ac:dyDescent="0.35">
      <c r="A101" t="s">
        <v>477</v>
      </c>
      <c r="B101" t="s">
        <v>899</v>
      </c>
      <c r="C101" s="292">
        <v>45603</v>
      </c>
      <c r="D101" t="s">
        <v>479</v>
      </c>
      <c r="E101" t="s">
        <v>801</v>
      </c>
      <c r="F101" t="s">
        <v>900</v>
      </c>
      <c r="G101">
        <v>2024</v>
      </c>
      <c r="H101" t="s">
        <v>396</v>
      </c>
      <c r="I101" t="s">
        <v>532</v>
      </c>
      <c r="J101" t="s">
        <v>510</v>
      </c>
      <c r="K101" t="s">
        <v>484</v>
      </c>
      <c r="L101" t="s">
        <v>485</v>
      </c>
      <c r="M101" t="s">
        <v>486</v>
      </c>
      <c r="N101" t="s">
        <v>487</v>
      </c>
      <c r="O101" t="s">
        <v>511</v>
      </c>
      <c r="P101" t="s">
        <v>630</v>
      </c>
      <c r="Q101" t="s">
        <v>488</v>
      </c>
      <c r="S101">
        <v>39690</v>
      </c>
      <c r="T101" t="s">
        <v>489</v>
      </c>
      <c r="U101" t="s">
        <v>490</v>
      </c>
      <c r="V101">
        <v>10.28</v>
      </c>
      <c r="W101">
        <v>1</v>
      </c>
      <c r="X101">
        <v>22335.5</v>
      </c>
      <c r="Z101" t="s">
        <v>491</v>
      </c>
      <c r="AA101" t="s">
        <v>491</v>
      </c>
      <c r="AC101" t="s">
        <v>491</v>
      </c>
      <c r="AD101" t="s">
        <v>492</v>
      </c>
      <c r="AE101" t="s">
        <v>487</v>
      </c>
      <c r="AF101">
        <v>2</v>
      </c>
      <c r="AG101">
        <v>2</v>
      </c>
      <c r="AH101">
        <v>0</v>
      </c>
      <c r="AI101">
        <v>0</v>
      </c>
      <c r="AJ101">
        <v>0</v>
      </c>
      <c r="AK101">
        <v>0</v>
      </c>
      <c r="AL101">
        <v>0</v>
      </c>
      <c r="AM101">
        <v>2</v>
      </c>
      <c r="AN101" t="s">
        <v>493</v>
      </c>
      <c r="AO101" t="s">
        <v>494</v>
      </c>
      <c r="AP101">
        <v>22</v>
      </c>
      <c r="AQ101" t="s">
        <v>495</v>
      </c>
      <c r="AR101" t="s">
        <v>496</v>
      </c>
      <c r="AS101">
        <v>5</v>
      </c>
      <c r="AT101" t="s">
        <v>497</v>
      </c>
      <c r="AU101" t="s">
        <v>899</v>
      </c>
      <c r="AV101" t="s">
        <v>498</v>
      </c>
      <c r="AW101" t="s">
        <v>901</v>
      </c>
      <c r="AX101">
        <v>44.797049169999987</v>
      </c>
      <c r="AY101">
        <v>-68.761350610000008</v>
      </c>
      <c r="AZ101">
        <v>11</v>
      </c>
      <c r="BA101" t="s">
        <v>551</v>
      </c>
      <c r="BB101" t="s">
        <v>501</v>
      </c>
      <c r="BC101">
        <v>4041936</v>
      </c>
      <c r="BD101">
        <v>4</v>
      </c>
      <c r="BE101" t="s">
        <v>502</v>
      </c>
      <c r="BF101" t="s">
        <v>503</v>
      </c>
      <c r="BG101" t="s">
        <v>504</v>
      </c>
      <c r="BH101" t="s">
        <v>505</v>
      </c>
      <c r="BI101">
        <v>285781</v>
      </c>
      <c r="BJ101">
        <v>0</v>
      </c>
    </row>
    <row r="102" spans="1:62" x14ac:dyDescent="0.35">
      <c r="A102" t="s">
        <v>477</v>
      </c>
      <c r="B102" t="s">
        <v>902</v>
      </c>
      <c r="C102" s="292">
        <v>44317</v>
      </c>
      <c r="D102" t="s">
        <v>479</v>
      </c>
      <c r="E102" t="s">
        <v>552</v>
      </c>
      <c r="F102" t="s">
        <v>903</v>
      </c>
      <c r="G102">
        <v>2021</v>
      </c>
      <c r="H102" t="s">
        <v>396</v>
      </c>
      <c r="I102" t="s">
        <v>482</v>
      </c>
      <c r="J102" t="s">
        <v>629</v>
      </c>
      <c r="K102" t="s">
        <v>770</v>
      </c>
      <c r="L102" t="s">
        <v>485</v>
      </c>
      <c r="M102" t="s">
        <v>563</v>
      </c>
      <c r="T102" t="s">
        <v>489</v>
      </c>
      <c r="U102" t="s">
        <v>490</v>
      </c>
      <c r="V102">
        <v>10.33</v>
      </c>
      <c r="W102">
        <v>2</v>
      </c>
      <c r="X102">
        <v>12872</v>
      </c>
      <c r="Y102">
        <v>25</v>
      </c>
      <c r="Z102" t="s">
        <v>491</v>
      </c>
      <c r="AA102" t="s">
        <v>491</v>
      </c>
      <c r="AB102" t="s">
        <v>491</v>
      </c>
      <c r="AC102" t="s">
        <v>491</v>
      </c>
      <c r="AD102" t="s">
        <v>492</v>
      </c>
      <c r="AE102" t="s">
        <v>492</v>
      </c>
      <c r="AF102">
        <v>2</v>
      </c>
      <c r="AG102">
        <v>2</v>
      </c>
      <c r="AH102">
        <v>0</v>
      </c>
      <c r="AI102">
        <v>0</v>
      </c>
      <c r="AJ102">
        <v>0</v>
      </c>
      <c r="AK102">
        <v>0</v>
      </c>
      <c r="AL102">
        <v>0</v>
      </c>
      <c r="AM102">
        <v>0</v>
      </c>
      <c r="AN102" t="s">
        <v>493</v>
      </c>
      <c r="AO102" t="s">
        <v>494</v>
      </c>
      <c r="AP102">
        <v>9</v>
      </c>
      <c r="AQ102" t="s">
        <v>396</v>
      </c>
      <c r="AR102" t="s">
        <v>558</v>
      </c>
      <c r="AS102">
        <v>7</v>
      </c>
      <c r="AT102" t="s">
        <v>497</v>
      </c>
      <c r="AU102" t="s">
        <v>902</v>
      </c>
      <c r="AV102" t="s">
        <v>498</v>
      </c>
      <c r="AW102" t="s">
        <v>904</v>
      </c>
      <c r="AX102">
        <v>44.797464140000002</v>
      </c>
      <c r="AY102">
        <v>-68.760581559999991</v>
      </c>
      <c r="AZ102">
        <v>5</v>
      </c>
      <c r="BA102" t="s">
        <v>597</v>
      </c>
      <c r="BB102" t="s">
        <v>501</v>
      </c>
      <c r="BC102">
        <v>4041934</v>
      </c>
      <c r="BD102">
        <v>4</v>
      </c>
      <c r="BE102" t="s">
        <v>502</v>
      </c>
      <c r="BF102" t="s">
        <v>503</v>
      </c>
      <c r="BG102" t="s">
        <v>504</v>
      </c>
      <c r="BH102" t="s">
        <v>560</v>
      </c>
      <c r="BI102">
        <v>285892</v>
      </c>
      <c r="BJ102">
        <v>0.02</v>
      </c>
    </row>
    <row r="103" spans="1:62" x14ac:dyDescent="0.35">
      <c r="A103" t="s">
        <v>477</v>
      </c>
      <c r="B103" t="s">
        <v>906</v>
      </c>
      <c r="C103" s="292">
        <v>45925</v>
      </c>
      <c r="D103" t="s">
        <v>479</v>
      </c>
      <c r="E103" t="s">
        <v>801</v>
      </c>
      <c r="F103" t="s">
        <v>907</v>
      </c>
      <c r="G103">
        <v>2025</v>
      </c>
      <c r="H103" t="s">
        <v>396</v>
      </c>
      <c r="I103" t="s">
        <v>482</v>
      </c>
      <c r="J103" t="s">
        <v>483</v>
      </c>
      <c r="K103" t="s">
        <v>525</v>
      </c>
      <c r="L103" t="s">
        <v>485</v>
      </c>
      <c r="M103" t="s">
        <v>486</v>
      </c>
      <c r="N103" t="s">
        <v>487</v>
      </c>
      <c r="O103" t="s">
        <v>496</v>
      </c>
      <c r="Q103" t="s">
        <v>488</v>
      </c>
      <c r="S103">
        <v>39690</v>
      </c>
      <c r="T103" t="s">
        <v>489</v>
      </c>
      <c r="U103" t="s">
        <v>490</v>
      </c>
      <c r="V103">
        <v>10.28</v>
      </c>
      <c r="W103">
        <v>1</v>
      </c>
      <c r="X103">
        <v>22335.5</v>
      </c>
      <c r="Z103" t="s">
        <v>491</v>
      </c>
      <c r="AA103" t="s">
        <v>491</v>
      </c>
      <c r="AC103" t="s">
        <v>491</v>
      </c>
      <c r="AD103" t="s">
        <v>492</v>
      </c>
      <c r="AE103" t="s">
        <v>492</v>
      </c>
      <c r="AF103">
        <v>2</v>
      </c>
      <c r="AG103">
        <v>4</v>
      </c>
      <c r="AH103">
        <v>0</v>
      </c>
      <c r="AI103">
        <v>0</v>
      </c>
      <c r="AJ103">
        <v>0</v>
      </c>
      <c r="AK103">
        <v>0</v>
      </c>
      <c r="AL103">
        <v>0</v>
      </c>
      <c r="AM103">
        <v>4</v>
      </c>
      <c r="AN103" t="s">
        <v>493</v>
      </c>
      <c r="AO103" t="s">
        <v>494</v>
      </c>
      <c r="AP103">
        <v>7</v>
      </c>
      <c r="AQ103" t="s">
        <v>527</v>
      </c>
      <c r="AR103" t="s">
        <v>496</v>
      </c>
      <c r="AS103">
        <v>5</v>
      </c>
      <c r="AT103" t="s">
        <v>497</v>
      </c>
      <c r="AU103" t="s">
        <v>906</v>
      </c>
      <c r="AV103" t="s">
        <v>498</v>
      </c>
      <c r="AW103" t="s">
        <v>908</v>
      </c>
      <c r="AX103">
        <v>44.797342489999998</v>
      </c>
      <c r="AY103">
        <v>-68.761545810000001</v>
      </c>
      <c r="AZ103">
        <v>9</v>
      </c>
      <c r="BA103" t="s">
        <v>601</v>
      </c>
      <c r="BB103" t="s">
        <v>501</v>
      </c>
      <c r="BC103">
        <v>4041936</v>
      </c>
      <c r="BD103">
        <v>4</v>
      </c>
      <c r="BE103" t="s">
        <v>502</v>
      </c>
      <c r="BF103" t="s">
        <v>503</v>
      </c>
      <c r="BG103" t="s">
        <v>504</v>
      </c>
      <c r="BH103" t="s">
        <v>505</v>
      </c>
      <c r="BI103">
        <v>290838</v>
      </c>
      <c r="BJ103">
        <v>0</v>
      </c>
    </row>
    <row r="104" spans="1:62" x14ac:dyDescent="0.35">
      <c r="A104" t="s">
        <v>477</v>
      </c>
      <c r="B104" t="s">
        <v>909</v>
      </c>
      <c r="C104" s="292">
        <v>45476</v>
      </c>
      <c r="D104" t="s">
        <v>479</v>
      </c>
      <c r="E104" t="s">
        <v>574</v>
      </c>
      <c r="F104" t="s">
        <v>910</v>
      </c>
      <c r="G104">
        <v>2024</v>
      </c>
      <c r="H104" t="s">
        <v>396</v>
      </c>
      <c r="I104" t="s">
        <v>482</v>
      </c>
      <c r="J104" t="s">
        <v>483</v>
      </c>
      <c r="K104" t="s">
        <v>484</v>
      </c>
      <c r="L104" t="s">
        <v>485</v>
      </c>
      <c r="M104" t="s">
        <v>486</v>
      </c>
      <c r="N104" t="s">
        <v>487</v>
      </c>
      <c r="O104" t="s">
        <v>911</v>
      </c>
      <c r="Q104" t="s">
        <v>488</v>
      </c>
      <c r="S104">
        <v>39690</v>
      </c>
      <c r="T104" t="s">
        <v>489</v>
      </c>
      <c r="U104" t="s">
        <v>490</v>
      </c>
      <c r="V104">
        <v>10.28</v>
      </c>
      <c r="W104">
        <v>1</v>
      </c>
      <c r="X104">
        <v>22335.5</v>
      </c>
      <c r="Z104" t="s">
        <v>491</v>
      </c>
      <c r="AA104" t="s">
        <v>491</v>
      </c>
      <c r="AC104" t="s">
        <v>491</v>
      </c>
      <c r="AD104" t="s">
        <v>492</v>
      </c>
      <c r="AE104" t="s">
        <v>492</v>
      </c>
      <c r="AF104">
        <v>2</v>
      </c>
      <c r="AG104">
        <v>4</v>
      </c>
      <c r="AH104">
        <v>0</v>
      </c>
      <c r="AI104">
        <v>0</v>
      </c>
      <c r="AJ104">
        <v>0</v>
      </c>
      <c r="AK104">
        <v>0</v>
      </c>
      <c r="AL104">
        <v>0</v>
      </c>
      <c r="AM104">
        <v>4</v>
      </c>
      <c r="AN104" t="s">
        <v>493</v>
      </c>
      <c r="AO104" t="s">
        <v>494</v>
      </c>
      <c r="AP104">
        <v>16</v>
      </c>
      <c r="AQ104" t="s">
        <v>495</v>
      </c>
      <c r="AR104" t="s">
        <v>496</v>
      </c>
      <c r="AS104">
        <v>4</v>
      </c>
      <c r="AT104" t="s">
        <v>497</v>
      </c>
      <c r="AU104" t="s">
        <v>909</v>
      </c>
      <c r="AV104" t="s">
        <v>498</v>
      </c>
      <c r="AW104" t="s">
        <v>912</v>
      </c>
      <c r="AX104">
        <v>44.797049169999987</v>
      </c>
      <c r="AY104">
        <v>-68.761350610000008</v>
      </c>
      <c r="AZ104">
        <v>7</v>
      </c>
      <c r="BA104" t="s">
        <v>500</v>
      </c>
      <c r="BB104" t="s">
        <v>501</v>
      </c>
      <c r="BC104">
        <v>4041936</v>
      </c>
      <c r="BD104">
        <v>4</v>
      </c>
      <c r="BE104" t="s">
        <v>502</v>
      </c>
      <c r="BF104" t="s">
        <v>503</v>
      </c>
      <c r="BG104" t="s">
        <v>504</v>
      </c>
      <c r="BH104" t="s">
        <v>505</v>
      </c>
      <c r="BI104">
        <v>293959</v>
      </c>
      <c r="BJ104">
        <v>0</v>
      </c>
    </row>
    <row r="105" spans="1:62" x14ac:dyDescent="0.35">
      <c r="A105" t="s">
        <v>477</v>
      </c>
      <c r="B105" t="s">
        <v>913</v>
      </c>
      <c r="C105" s="292">
        <v>45476</v>
      </c>
      <c r="D105" t="s">
        <v>479</v>
      </c>
      <c r="E105" t="s">
        <v>574</v>
      </c>
      <c r="F105" t="s">
        <v>914</v>
      </c>
      <c r="G105">
        <v>2024</v>
      </c>
      <c r="H105" t="s">
        <v>396</v>
      </c>
      <c r="I105" t="s">
        <v>482</v>
      </c>
      <c r="J105" t="s">
        <v>510</v>
      </c>
      <c r="K105" t="s">
        <v>556</v>
      </c>
      <c r="L105" t="s">
        <v>485</v>
      </c>
      <c r="M105" t="s">
        <v>486</v>
      </c>
      <c r="N105" t="s">
        <v>487</v>
      </c>
      <c r="O105" t="s">
        <v>511</v>
      </c>
      <c r="P105" t="s">
        <v>609</v>
      </c>
      <c r="Q105" t="s">
        <v>488</v>
      </c>
      <c r="T105" t="s">
        <v>489</v>
      </c>
      <c r="U105" t="s">
        <v>490</v>
      </c>
      <c r="V105">
        <v>10.32</v>
      </c>
      <c r="W105">
        <v>2</v>
      </c>
      <c r="X105">
        <v>12872</v>
      </c>
      <c r="Y105">
        <v>25</v>
      </c>
      <c r="Z105" t="s">
        <v>491</v>
      </c>
      <c r="AA105" t="s">
        <v>491</v>
      </c>
      <c r="AC105" t="s">
        <v>491</v>
      </c>
      <c r="AD105" t="s">
        <v>492</v>
      </c>
      <c r="AE105" t="s">
        <v>492</v>
      </c>
      <c r="AF105">
        <v>3</v>
      </c>
      <c r="AG105">
        <v>6</v>
      </c>
      <c r="AH105">
        <v>0</v>
      </c>
      <c r="AI105">
        <v>0</v>
      </c>
      <c r="AJ105">
        <v>0</v>
      </c>
      <c r="AK105">
        <v>0</v>
      </c>
      <c r="AL105">
        <v>0</v>
      </c>
      <c r="AM105">
        <v>6</v>
      </c>
      <c r="AN105" t="s">
        <v>493</v>
      </c>
      <c r="AO105" t="s">
        <v>494</v>
      </c>
      <c r="AP105">
        <v>13</v>
      </c>
      <c r="AQ105" t="s">
        <v>495</v>
      </c>
      <c r="AR105" t="s">
        <v>558</v>
      </c>
      <c r="AS105">
        <v>4</v>
      </c>
      <c r="AT105" t="s">
        <v>497</v>
      </c>
      <c r="AU105" t="s">
        <v>913</v>
      </c>
      <c r="AV105" t="s">
        <v>498</v>
      </c>
      <c r="AW105" t="s">
        <v>915</v>
      </c>
      <c r="AX105">
        <v>44.797439160000003</v>
      </c>
      <c r="AY105">
        <v>-68.76062829</v>
      </c>
      <c r="AZ105">
        <v>7</v>
      </c>
      <c r="BA105" t="s">
        <v>500</v>
      </c>
      <c r="BB105" t="s">
        <v>501</v>
      </c>
      <c r="BC105">
        <v>4041934</v>
      </c>
      <c r="BD105">
        <v>4</v>
      </c>
      <c r="BE105" t="s">
        <v>502</v>
      </c>
      <c r="BF105" t="s">
        <v>503</v>
      </c>
      <c r="BG105" t="s">
        <v>504</v>
      </c>
      <c r="BH105" t="s">
        <v>560</v>
      </c>
      <c r="BI105">
        <v>295297</v>
      </c>
      <c r="BJ105">
        <v>0.03</v>
      </c>
    </row>
    <row r="106" spans="1:62" x14ac:dyDescent="0.35">
      <c r="A106" t="s">
        <v>477</v>
      </c>
      <c r="B106" t="s">
        <v>917</v>
      </c>
      <c r="C106" s="292">
        <v>43683</v>
      </c>
      <c r="D106" t="s">
        <v>479</v>
      </c>
      <c r="E106" t="s">
        <v>541</v>
      </c>
      <c r="F106" t="s">
        <v>918</v>
      </c>
      <c r="G106">
        <v>2019</v>
      </c>
      <c r="H106" t="s">
        <v>396</v>
      </c>
      <c r="I106" t="s">
        <v>482</v>
      </c>
      <c r="J106" t="s">
        <v>510</v>
      </c>
      <c r="K106" t="s">
        <v>556</v>
      </c>
      <c r="L106" t="s">
        <v>485</v>
      </c>
      <c r="M106" t="s">
        <v>486</v>
      </c>
      <c r="O106" t="s">
        <v>511</v>
      </c>
      <c r="P106" t="s">
        <v>488</v>
      </c>
      <c r="Q106" t="s">
        <v>488</v>
      </c>
      <c r="T106" t="s">
        <v>489</v>
      </c>
      <c r="U106" t="s">
        <v>490</v>
      </c>
      <c r="V106">
        <v>10.33</v>
      </c>
      <c r="W106">
        <v>2</v>
      </c>
      <c r="X106">
        <v>12872</v>
      </c>
      <c r="Y106">
        <v>25</v>
      </c>
      <c r="Z106" t="s">
        <v>491</v>
      </c>
      <c r="AA106" t="s">
        <v>491</v>
      </c>
      <c r="AB106" t="s">
        <v>491</v>
      </c>
      <c r="AC106" t="s">
        <v>491</v>
      </c>
      <c r="AD106" t="s">
        <v>492</v>
      </c>
      <c r="AE106" t="s">
        <v>492</v>
      </c>
      <c r="AF106">
        <v>2</v>
      </c>
      <c r="AG106">
        <v>2</v>
      </c>
      <c r="AH106">
        <v>0</v>
      </c>
      <c r="AI106">
        <v>0</v>
      </c>
      <c r="AJ106">
        <v>0</v>
      </c>
      <c r="AK106">
        <v>0</v>
      </c>
      <c r="AL106">
        <v>0</v>
      </c>
      <c r="AM106">
        <v>2</v>
      </c>
      <c r="AN106" t="s">
        <v>493</v>
      </c>
      <c r="AO106" t="s">
        <v>494</v>
      </c>
      <c r="AP106">
        <v>14</v>
      </c>
      <c r="AQ106" t="s">
        <v>396</v>
      </c>
      <c r="AR106" t="s">
        <v>558</v>
      </c>
      <c r="AS106">
        <v>3</v>
      </c>
      <c r="AT106" t="s">
        <v>497</v>
      </c>
      <c r="AU106" t="s">
        <v>917</v>
      </c>
      <c r="AV106" t="s">
        <v>498</v>
      </c>
      <c r="AW106" t="s">
        <v>919</v>
      </c>
      <c r="AX106">
        <v>44.797499999999999</v>
      </c>
      <c r="AY106">
        <v>-68.760509999999996</v>
      </c>
      <c r="AZ106">
        <v>8</v>
      </c>
      <c r="BA106" t="s">
        <v>667</v>
      </c>
      <c r="BB106" t="s">
        <v>501</v>
      </c>
      <c r="BC106">
        <v>4041934</v>
      </c>
      <c r="BD106">
        <v>4</v>
      </c>
      <c r="BE106" t="s">
        <v>502</v>
      </c>
      <c r="BF106" t="s">
        <v>503</v>
      </c>
      <c r="BG106" t="s">
        <v>504</v>
      </c>
      <c r="BH106" t="s">
        <v>560</v>
      </c>
      <c r="BI106">
        <v>300449</v>
      </c>
      <c r="BJ106">
        <v>0.02</v>
      </c>
    </row>
    <row r="107" spans="1:62" x14ac:dyDescent="0.35">
      <c r="A107" t="s">
        <v>477</v>
      </c>
      <c r="B107" t="s">
        <v>920</v>
      </c>
      <c r="C107" s="292">
        <v>44378</v>
      </c>
      <c r="D107" t="s">
        <v>479</v>
      </c>
      <c r="E107" t="s">
        <v>516</v>
      </c>
      <c r="F107" t="s">
        <v>921</v>
      </c>
      <c r="G107">
        <v>2021</v>
      </c>
      <c r="H107" t="s">
        <v>396</v>
      </c>
      <c r="I107" t="s">
        <v>482</v>
      </c>
      <c r="J107" t="s">
        <v>510</v>
      </c>
      <c r="K107" t="s">
        <v>484</v>
      </c>
      <c r="L107" t="s">
        <v>485</v>
      </c>
      <c r="M107" t="s">
        <v>486</v>
      </c>
      <c r="N107" t="s">
        <v>487</v>
      </c>
      <c r="O107" t="s">
        <v>729</v>
      </c>
      <c r="P107" t="s">
        <v>557</v>
      </c>
      <c r="Q107" t="s">
        <v>488</v>
      </c>
      <c r="S107">
        <v>39690</v>
      </c>
      <c r="T107" t="s">
        <v>489</v>
      </c>
      <c r="U107" t="s">
        <v>490</v>
      </c>
      <c r="V107">
        <v>10.28</v>
      </c>
      <c r="W107">
        <v>1</v>
      </c>
      <c r="X107">
        <v>22335.5</v>
      </c>
      <c r="Z107" t="s">
        <v>491</v>
      </c>
      <c r="AA107" t="s">
        <v>491</v>
      </c>
      <c r="AB107" t="s">
        <v>491</v>
      </c>
      <c r="AC107" t="s">
        <v>491</v>
      </c>
      <c r="AD107" t="s">
        <v>492</v>
      </c>
      <c r="AE107" t="s">
        <v>492</v>
      </c>
      <c r="AF107">
        <v>2</v>
      </c>
      <c r="AG107">
        <v>2</v>
      </c>
      <c r="AH107">
        <v>0</v>
      </c>
      <c r="AI107">
        <v>0</v>
      </c>
      <c r="AJ107">
        <v>0</v>
      </c>
      <c r="AK107">
        <v>0</v>
      </c>
      <c r="AL107">
        <v>0</v>
      </c>
      <c r="AM107">
        <v>2</v>
      </c>
      <c r="AN107" t="s">
        <v>493</v>
      </c>
      <c r="AO107" t="s">
        <v>494</v>
      </c>
      <c r="AP107">
        <v>17</v>
      </c>
      <c r="AQ107" t="s">
        <v>495</v>
      </c>
      <c r="AR107" t="s">
        <v>496</v>
      </c>
      <c r="AS107">
        <v>5</v>
      </c>
      <c r="AT107" t="s">
        <v>497</v>
      </c>
      <c r="AU107" t="s">
        <v>920</v>
      </c>
      <c r="AV107" t="s">
        <v>498</v>
      </c>
      <c r="AW107" t="s">
        <v>922</v>
      </c>
      <c r="AX107">
        <v>44.797049169999987</v>
      </c>
      <c r="AY107">
        <v>-68.761350610000008</v>
      </c>
      <c r="AZ107">
        <v>7</v>
      </c>
      <c r="BA107" t="s">
        <v>500</v>
      </c>
      <c r="BB107" t="s">
        <v>501</v>
      </c>
      <c r="BC107">
        <v>4041936</v>
      </c>
      <c r="BD107">
        <v>4</v>
      </c>
      <c r="BE107" t="s">
        <v>502</v>
      </c>
      <c r="BF107" t="s">
        <v>503</v>
      </c>
      <c r="BG107" t="s">
        <v>504</v>
      </c>
      <c r="BH107" t="s">
        <v>505</v>
      </c>
      <c r="BI107">
        <v>301162</v>
      </c>
      <c r="BJ107">
        <v>0</v>
      </c>
    </row>
    <row r="108" spans="1:62" x14ac:dyDescent="0.35">
      <c r="A108" t="s">
        <v>477</v>
      </c>
      <c r="B108" t="s">
        <v>923</v>
      </c>
      <c r="C108" s="292">
        <v>44392</v>
      </c>
      <c r="D108" t="s">
        <v>479</v>
      </c>
      <c r="E108" t="s">
        <v>516</v>
      </c>
      <c r="F108" t="s">
        <v>924</v>
      </c>
      <c r="G108">
        <v>2021</v>
      </c>
      <c r="H108" t="s">
        <v>396</v>
      </c>
      <c r="I108" t="s">
        <v>482</v>
      </c>
      <c r="J108" t="s">
        <v>510</v>
      </c>
      <c r="K108" t="s">
        <v>484</v>
      </c>
      <c r="L108" t="s">
        <v>485</v>
      </c>
      <c r="M108" t="s">
        <v>486</v>
      </c>
      <c r="N108" t="s">
        <v>487</v>
      </c>
      <c r="O108" t="s">
        <v>488</v>
      </c>
      <c r="Q108" t="s">
        <v>488</v>
      </c>
      <c r="S108">
        <v>39690</v>
      </c>
      <c r="T108" t="s">
        <v>489</v>
      </c>
      <c r="U108" t="s">
        <v>490</v>
      </c>
      <c r="V108">
        <v>10.28</v>
      </c>
      <c r="W108">
        <v>1</v>
      </c>
      <c r="X108">
        <v>22335.5</v>
      </c>
      <c r="Z108" t="s">
        <v>491</v>
      </c>
      <c r="AA108" t="s">
        <v>491</v>
      </c>
      <c r="AB108" t="s">
        <v>491</v>
      </c>
      <c r="AC108" t="s">
        <v>491</v>
      </c>
      <c r="AD108" t="s">
        <v>492</v>
      </c>
      <c r="AE108" t="s">
        <v>492</v>
      </c>
      <c r="AF108">
        <v>2</v>
      </c>
      <c r="AG108">
        <v>2</v>
      </c>
      <c r="AH108">
        <v>1</v>
      </c>
      <c r="AI108">
        <v>0</v>
      </c>
      <c r="AJ108">
        <v>0</v>
      </c>
      <c r="AK108">
        <v>0</v>
      </c>
      <c r="AL108">
        <v>1</v>
      </c>
      <c r="AM108">
        <v>1</v>
      </c>
      <c r="AN108" t="s">
        <v>519</v>
      </c>
      <c r="AO108" t="s">
        <v>494</v>
      </c>
      <c r="AP108">
        <v>12</v>
      </c>
      <c r="AQ108" t="s">
        <v>495</v>
      </c>
      <c r="AR108" t="s">
        <v>496</v>
      </c>
      <c r="AS108">
        <v>5</v>
      </c>
      <c r="AT108" t="s">
        <v>497</v>
      </c>
      <c r="AU108" t="s">
        <v>923</v>
      </c>
      <c r="AV108" t="s">
        <v>498</v>
      </c>
      <c r="AW108" t="s">
        <v>925</v>
      </c>
      <c r="AX108">
        <v>44.797049169999987</v>
      </c>
      <c r="AY108">
        <v>-68.761350610000008</v>
      </c>
      <c r="AZ108">
        <v>7</v>
      </c>
      <c r="BA108" t="s">
        <v>500</v>
      </c>
      <c r="BB108" t="s">
        <v>501</v>
      </c>
      <c r="BC108">
        <v>4041936</v>
      </c>
      <c r="BD108">
        <v>4</v>
      </c>
      <c r="BE108" t="s">
        <v>502</v>
      </c>
      <c r="BF108" t="s">
        <v>503</v>
      </c>
      <c r="BG108" t="s">
        <v>504</v>
      </c>
      <c r="BH108" t="s">
        <v>505</v>
      </c>
      <c r="BI108">
        <v>304658</v>
      </c>
      <c r="BJ108">
        <v>0</v>
      </c>
    </row>
    <row r="109" spans="1:62" x14ac:dyDescent="0.35">
      <c r="A109" t="s">
        <v>477</v>
      </c>
      <c r="B109" t="s">
        <v>926</v>
      </c>
      <c r="C109" s="292">
        <v>43620</v>
      </c>
      <c r="D109" t="s">
        <v>479</v>
      </c>
      <c r="E109" t="s">
        <v>541</v>
      </c>
      <c r="F109" t="s">
        <v>927</v>
      </c>
      <c r="G109">
        <v>2019</v>
      </c>
      <c r="H109" t="s">
        <v>396</v>
      </c>
      <c r="I109" t="s">
        <v>482</v>
      </c>
      <c r="J109" t="s">
        <v>483</v>
      </c>
      <c r="K109" t="s">
        <v>484</v>
      </c>
      <c r="L109" t="s">
        <v>485</v>
      </c>
      <c r="M109" t="s">
        <v>486</v>
      </c>
      <c r="N109" t="s">
        <v>487</v>
      </c>
      <c r="O109" t="s">
        <v>488</v>
      </c>
      <c r="Q109" t="s">
        <v>488</v>
      </c>
      <c r="S109">
        <v>39690</v>
      </c>
      <c r="T109" t="s">
        <v>489</v>
      </c>
      <c r="U109" t="s">
        <v>490</v>
      </c>
      <c r="V109">
        <v>10.28</v>
      </c>
      <c r="W109">
        <v>1</v>
      </c>
      <c r="X109">
        <v>22335.5</v>
      </c>
      <c r="Z109" t="s">
        <v>491</v>
      </c>
      <c r="AA109" t="s">
        <v>491</v>
      </c>
      <c r="AB109" t="s">
        <v>491</v>
      </c>
      <c r="AC109" t="s">
        <v>491</v>
      </c>
      <c r="AD109" t="s">
        <v>492</v>
      </c>
      <c r="AE109" t="s">
        <v>492</v>
      </c>
      <c r="AF109">
        <v>2</v>
      </c>
      <c r="AG109">
        <v>2</v>
      </c>
      <c r="AH109">
        <v>0</v>
      </c>
      <c r="AI109">
        <v>0</v>
      </c>
      <c r="AJ109">
        <v>0</v>
      </c>
      <c r="AK109">
        <v>0</v>
      </c>
      <c r="AL109">
        <v>0</v>
      </c>
      <c r="AM109">
        <v>2</v>
      </c>
      <c r="AN109" t="s">
        <v>493</v>
      </c>
      <c r="AO109" t="s">
        <v>494</v>
      </c>
      <c r="AP109">
        <v>8</v>
      </c>
      <c r="AQ109" t="s">
        <v>495</v>
      </c>
      <c r="AR109" t="s">
        <v>496</v>
      </c>
      <c r="AS109">
        <v>3</v>
      </c>
      <c r="AT109" t="s">
        <v>497</v>
      </c>
      <c r="AU109" t="s">
        <v>926</v>
      </c>
      <c r="AV109" t="s">
        <v>498</v>
      </c>
      <c r="AW109" t="s">
        <v>928</v>
      </c>
      <c r="AX109">
        <v>44.797049169999987</v>
      </c>
      <c r="AY109">
        <v>-68.761350610000008</v>
      </c>
      <c r="AZ109">
        <v>6</v>
      </c>
      <c r="BA109" t="s">
        <v>544</v>
      </c>
      <c r="BB109" t="s">
        <v>501</v>
      </c>
      <c r="BC109">
        <v>4041936</v>
      </c>
      <c r="BD109">
        <v>4</v>
      </c>
      <c r="BE109" t="s">
        <v>502</v>
      </c>
      <c r="BF109" t="s">
        <v>503</v>
      </c>
      <c r="BG109" t="s">
        <v>504</v>
      </c>
      <c r="BH109" t="s">
        <v>505</v>
      </c>
      <c r="BI109">
        <v>305720</v>
      </c>
      <c r="BJ109">
        <v>0</v>
      </c>
    </row>
    <row r="110" spans="1:62" x14ac:dyDescent="0.35">
      <c r="A110" t="s">
        <v>477</v>
      </c>
      <c r="B110" t="s">
        <v>929</v>
      </c>
      <c r="C110" s="292">
        <v>45457</v>
      </c>
      <c r="D110" t="s">
        <v>479</v>
      </c>
      <c r="E110" t="s">
        <v>507</v>
      </c>
      <c r="F110" t="s">
        <v>903</v>
      </c>
      <c r="G110">
        <v>2024</v>
      </c>
      <c r="H110" t="s">
        <v>396</v>
      </c>
      <c r="I110" t="s">
        <v>482</v>
      </c>
      <c r="J110" t="s">
        <v>510</v>
      </c>
      <c r="K110" t="s">
        <v>525</v>
      </c>
      <c r="L110" t="s">
        <v>485</v>
      </c>
      <c r="M110" t="s">
        <v>563</v>
      </c>
      <c r="N110" t="s">
        <v>487</v>
      </c>
      <c r="O110" t="s">
        <v>488</v>
      </c>
      <c r="Q110" t="s">
        <v>488</v>
      </c>
      <c r="S110">
        <v>39690</v>
      </c>
      <c r="T110" t="s">
        <v>489</v>
      </c>
      <c r="U110" t="s">
        <v>490</v>
      </c>
      <c r="V110">
        <v>10.28</v>
      </c>
      <c r="W110">
        <v>1</v>
      </c>
      <c r="X110">
        <v>22335.5</v>
      </c>
      <c r="Z110" t="s">
        <v>491</v>
      </c>
      <c r="AA110" t="s">
        <v>491</v>
      </c>
      <c r="AC110" t="s">
        <v>491</v>
      </c>
      <c r="AD110" t="s">
        <v>492</v>
      </c>
      <c r="AE110" t="s">
        <v>492</v>
      </c>
      <c r="AF110">
        <v>2</v>
      </c>
      <c r="AG110">
        <v>4</v>
      </c>
      <c r="AH110">
        <v>2</v>
      </c>
      <c r="AI110">
        <v>0</v>
      </c>
      <c r="AJ110">
        <v>0</v>
      </c>
      <c r="AK110">
        <v>0</v>
      </c>
      <c r="AL110">
        <v>2</v>
      </c>
      <c r="AM110">
        <v>2</v>
      </c>
      <c r="AN110" t="s">
        <v>519</v>
      </c>
      <c r="AO110" t="s">
        <v>494</v>
      </c>
      <c r="AP110">
        <v>9</v>
      </c>
      <c r="AQ110" t="s">
        <v>527</v>
      </c>
      <c r="AR110" t="s">
        <v>496</v>
      </c>
      <c r="AS110">
        <v>6</v>
      </c>
      <c r="AT110" t="s">
        <v>497</v>
      </c>
      <c r="AU110" t="s">
        <v>929</v>
      </c>
      <c r="AV110" t="s">
        <v>498</v>
      </c>
      <c r="AW110" t="s">
        <v>930</v>
      </c>
      <c r="AX110">
        <v>44.797342489999998</v>
      </c>
      <c r="AY110">
        <v>-68.761545810000001</v>
      </c>
      <c r="AZ110">
        <v>6</v>
      </c>
      <c r="BA110" t="s">
        <v>544</v>
      </c>
      <c r="BB110" t="s">
        <v>501</v>
      </c>
      <c r="BC110">
        <v>4041936</v>
      </c>
      <c r="BD110">
        <v>4</v>
      </c>
      <c r="BE110" t="s">
        <v>502</v>
      </c>
      <c r="BF110" t="s">
        <v>503</v>
      </c>
      <c r="BG110" t="s">
        <v>504</v>
      </c>
      <c r="BH110" t="s">
        <v>505</v>
      </c>
      <c r="BI110">
        <v>308208</v>
      </c>
      <c r="BJ110">
        <v>0</v>
      </c>
    </row>
    <row r="111" spans="1:62" x14ac:dyDescent="0.35">
      <c r="A111" t="s">
        <v>477</v>
      </c>
      <c r="B111" t="s">
        <v>931</v>
      </c>
      <c r="C111" s="292">
        <v>43519</v>
      </c>
      <c r="D111" t="s">
        <v>479</v>
      </c>
      <c r="E111" t="s">
        <v>552</v>
      </c>
      <c r="F111" t="s">
        <v>932</v>
      </c>
      <c r="G111">
        <v>2019</v>
      </c>
      <c r="H111" t="s">
        <v>396</v>
      </c>
      <c r="I111" t="s">
        <v>532</v>
      </c>
      <c r="J111" t="s">
        <v>483</v>
      </c>
      <c r="K111" t="s">
        <v>484</v>
      </c>
      <c r="L111" t="s">
        <v>485</v>
      </c>
      <c r="M111" t="s">
        <v>486</v>
      </c>
      <c r="N111" t="s">
        <v>487</v>
      </c>
      <c r="O111" t="s">
        <v>518</v>
      </c>
      <c r="Q111" t="s">
        <v>488</v>
      </c>
      <c r="S111">
        <v>39690</v>
      </c>
      <c r="T111" t="s">
        <v>489</v>
      </c>
      <c r="U111" t="s">
        <v>490</v>
      </c>
      <c r="V111">
        <v>10.28</v>
      </c>
      <c r="W111">
        <v>1</v>
      </c>
      <c r="X111">
        <v>22335.5</v>
      </c>
      <c r="Z111" t="s">
        <v>491</v>
      </c>
      <c r="AA111" t="s">
        <v>491</v>
      </c>
      <c r="AB111" t="s">
        <v>491</v>
      </c>
      <c r="AC111" t="s">
        <v>491</v>
      </c>
      <c r="AD111" t="s">
        <v>492</v>
      </c>
      <c r="AE111" t="s">
        <v>492</v>
      </c>
      <c r="AF111">
        <v>2</v>
      </c>
      <c r="AG111">
        <v>2</v>
      </c>
      <c r="AH111">
        <v>0</v>
      </c>
      <c r="AI111">
        <v>0</v>
      </c>
      <c r="AJ111">
        <v>0</v>
      </c>
      <c r="AK111">
        <v>0</v>
      </c>
      <c r="AL111">
        <v>0</v>
      </c>
      <c r="AM111">
        <v>2</v>
      </c>
      <c r="AN111" t="s">
        <v>493</v>
      </c>
      <c r="AO111" t="s">
        <v>494</v>
      </c>
      <c r="AP111">
        <v>22</v>
      </c>
      <c r="AQ111" t="s">
        <v>495</v>
      </c>
      <c r="AR111" t="s">
        <v>496</v>
      </c>
      <c r="AS111">
        <v>7</v>
      </c>
      <c r="AT111" t="s">
        <v>497</v>
      </c>
      <c r="AU111" t="s">
        <v>931</v>
      </c>
      <c r="AV111" t="s">
        <v>498</v>
      </c>
      <c r="AW111" t="s">
        <v>933</v>
      </c>
      <c r="AX111">
        <v>44.797049169999987</v>
      </c>
      <c r="AY111">
        <v>-68.761350610000008</v>
      </c>
      <c r="AZ111">
        <v>2</v>
      </c>
      <c r="BA111" t="s">
        <v>675</v>
      </c>
      <c r="BB111" t="s">
        <v>501</v>
      </c>
      <c r="BC111">
        <v>4041936</v>
      </c>
      <c r="BD111">
        <v>4</v>
      </c>
      <c r="BE111" t="s">
        <v>502</v>
      </c>
      <c r="BF111" t="s">
        <v>503</v>
      </c>
      <c r="BG111" t="s">
        <v>504</v>
      </c>
      <c r="BH111" t="s">
        <v>505</v>
      </c>
      <c r="BI111">
        <v>310572</v>
      </c>
      <c r="BJ111">
        <v>0</v>
      </c>
    </row>
    <row r="112" spans="1:62" x14ac:dyDescent="0.35">
      <c r="A112" t="s">
        <v>477</v>
      </c>
      <c r="B112" t="s">
        <v>934</v>
      </c>
      <c r="C112" s="292">
        <v>45086</v>
      </c>
      <c r="D112" t="s">
        <v>479</v>
      </c>
      <c r="E112" t="s">
        <v>549</v>
      </c>
      <c r="F112" t="s">
        <v>935</v>
      </c>
      <c r="G112">
        <v>2023</v>
      </c>
      <c r="H112" t="s">
        <v>396</v>
      </c>
      <c r="I112" t="s">
        <v>482</v>
      </c>
      <c r="J112" t="s">
        <v>483</v>
      </c>
      <c r="K112" t="s">
        <v>576</v>
      </c>
      <c r="L112" t="s">
        <v>485</v>
      </c>
      <c r="M112" t="s">
        <v>563</v>
      </c>
      <c r="N112" t="s">
        <v>487</v>
      </c>
      <c r="O112" t="s">
        <v>553</v>
      </c>
      <c r="Q112" t="s">
        <v>564</v>
      </c>
      <c r="T112" t="s">
        <v>489</v>
      </c>
      <c r="U112" t="s">
        <v>490</v>
      </c>
      <c r="V112">
        <v>10.34</v>
      </c>
      <c r="W112">
        <v>2</v>
      </c>
      <c r="X112">
        <v>12872</v>
      </c>
      <c r="Y112">
        <v>25</v>
      </c>
      <c r="Z112" t="s">
        <v>491</v>
      </c>
      <c r="AA112" t="s">
        <v>491</v>
      </c>
      <c r="AC112" t="s">
        <v>491</v>
      </c>
      <c r="AD112" t="s">
        <v>492</v>
      </c>
      <c r="AE112" t="s">
        <v>492</v>
      </c>
      <c r="AF112">
        <v>2</v>
      </c>
      <c r="AG112">
        <v>2</v>
      </c>
      <c r="AH112">
        <v>1</v>
      </c>
      <c r="AI112">
        <v>0</v>
      </c>
      <c r="AJ112">
        <v>0</v>
      </c>
      <c r="AK112">
        <v>0</v>
      </c>
      <c r="AL112">
        <v>1</v>
      </c>
      <c r="AM112">
        <v>1</v>
      </c>
      <c r="AN112" t="s">
        <v>519</v>
      </c>
      <c r="AO112" t="s">
        <v>494</v>
      </c>
      <c r="AP112">
        <v>14</v>
      </c>
      <c r="AQ112" t="s">
        <v>795</v>
      </c>
      <c r="AR112" t="s">
        <v>558</v>
      </c>
      <c r="AS112">
        <v>6</v>
      </c>
      <c r="AT112" t="s">
        <v>497</v>
      </c>
      <c r="AU112" t="s">
        <v>934</v>
      </c>
      <c r="AV112" t="s">
        <v>498</v>
      </c>
      <c r="AW112" t="s">
        <v>936</v>
      </c>
      <c r="AX112">
        <v>44.797621990000003</v>
      </c>
      <c r="AY112">
        <v>-68.760286219999998</v>
      </c>
      <c r="AZ112">
        <v>6</v>
      </c>
      <c r="BA112" t="s">
        <v>544</v>
      </c>
      <c r="BB112" t="s">
        <v>501</v>
      </c>
      <c r="BC112">
        <v>4041934</v>
      </c>
      <c r="BD112">
        <v>4</v>
      </c>
      <c r="BE112" t="s">
        <v>502</v>
      </c>
      <c r="BF112" t="s">
        <v>503</v>
      </c>
      <c r="BG112" t="s">
        <v>504</v>
      </c>
      <c r="BH112" t="s">
        <v>560</v>
      </c>
      <c r="BI112">
        <v>310704</v>
      </c>
      <c r="BJ112">
        <v>0.01</v>
      </c>
    </row>
    <row r="113" spans="1:62" x14ac:dyDescent="0.35">
      <c r="A113" t="s">
        <v>477</v>
      </c>
      <c r="B113" t="s">
        <v>937</v>
      </c>
      <c r="C113" s="292">
        <v>44625</v>
      </c>
      <c r="D113" t="s">
        <v>479</v>
      </c>
      <c r="E113" t="s">
        <v>552</v>
      </c>
      <c r="F113" t="s">
        <v>582</v>
      </c>
      <c r="G113">
        <v>2022</v>
      </c>
      <c r="H113" t="s">
        <v>396</v>
      </c>
      <c r="I113" t="s">
        <v>482</v>
      </c>
      <c r="J113" t="s">
        <v>510</v>
      </c>
      <c r="K113" t="s">
        <v>484</v>
      </c>
      <c r="L113" t="s">
        <v>485</v>
      </c>
      <c r="M113" t="s">
        <v>486</v>
      </c>
      <c r="N113" t="s">
        <v>487</v>
      </c>
      <c r="O113" t="s">
        <v>511</v>
      </c>
      <c r="Q113" t="s">
        <v>488</v>
      </c>
      <c r="S113">
        <v>39690</v>
      </c>
      <c r="T113" t="s">
        <v>489</v>
      </c>
      <c r="U113" t="s">
        <v>490</v>
      </c>
      <c r="V113">
        <v>10.28</v>
      </c>
      <c r="W113">
        <v>1</v>
      </c>
      <c r="X113">
        <v>22335.5</v>
      </c>
      <c r="Z113" t="s">
        <v>491</v>
      </c>
      <c r="AA113" t="s">
        <v>491</v>
      </c>
      <c r="AB113" t="s">
        <v>491</v>
      </c>
      <c r="AC113" t="s">
        <v>491</v>
      </c>
      <c r="AD113" t="s">
        <v>492</v>
      </c>
      <c r="AE113" t="s">
        <v>492</v>
      </c>
      <c r="AF113">
        <v>2</v>
      </c>
      <c r="AG113">
        <v>2</v>
      </c>
      <c r="AH113">
        <v>0</v>
      </c>
      <c r="AI113">
        <v>0</v>
      </c>
      <c r="AJ113">
        <v>0</v>
      </c>
      <c r="AK113">
        <v>0</v>
      </c>
      <c r="AL113">
        <v>0</v>
      </c>
      <c r="AM113">
        <v>2</v>
      </c>
      <c r="AN113" t="s">
        <v>493</v>
      </c>
      <c r="AO113" t="s">
        <v>494</v>
      </c>
      <c r="AP113">
        <v>16</v>
      </c>
      <c r="AQ113" t="s">
        <v>495</v>
      </c>
      <c r="AR113" t="s">
        <v>496</v>
      </c>
      <c r="AS113">
        <v>7</v>
      </c>
      <c r="AT113" t="s">
        <v>497</v>
      </c>
      <c r="AU113" t="s">
        <v>938</v>
      </c>
      <c r="AV113" t="s">
        <v>498</v>
      </c>
      <c r="AW113" t="s">
        <v>939</v>
      </c>
      <c r="AX113">
        <v>44.797049169999987</v>
      </c>
      <c r="AY113">
        <v>-68.761350610000008</v>
      </c>
      <c r="AZ113">
        <v>3</v>
      </c>
      <c r="BA113" t="s">
        <v>622</v>
      </c>
      <c r="BB113" t="s">
        <v>501</v>
      </c>
      <c r="BC113">
        <v>4041936</v>
      </c>
      <c r="BD113">
        <v>4</v>
      </c>
      <c r="BE113" t="s">
        <v>502</v>
      </c>
      <c r="BF113" t="s">
        <v>503</v>
      </c>
      <c r="BG113" t="s">
        <v>504</v>
      </c>
      <c r="BH113" t="s">
        <v>505</v>
      </c>
      <c r="BI113">
        <v>311544</v>
      </c>
      <c r="BJ113">
        <v>0</v>
      </c>
    </row>
    <row r="114" spans="1:62" x14ac:dyDescent="0.35">
      <c r="A114" t="s">
        <v>477</v>
      </c>
      <c r="B114" t="s">
        <v>940</v>
      </c>
      <c r="C114" s="292">
        <v>43377</v>
      </c>
      <c r="D114" t="s">
        <v>479</v>
      </c>
      <c r="E114" t="s">
        <v>516</v>
      </c>
      <c r="F114" t="s">
        <v>941</v>
      </c>
      <c r="G114">
        <v>2018</v>
      </c>
      <c r="H114" t="s">
        <v>396</v>
      </c>
      <c r="I114" t="s">
        <v>532</v>
      </c>
      <c r="J114" t="s">
        <v>510</v>
      </c>
      <c r="K114" t="s">
        <v>484</v>
      </c>
      <c r="L114" t="s">
        <v>485</v>
      </c>
      <c r="M114" t="s">
        <v>486</v>
      </c>
      <c r="N114" t="s">
        <v>487</v>
      </c>
      <c r="O114" t="s">
        <v>488</v>
      </c>
      <c r="Q114" t="s">
        <v>511</v>
      </c>
      <c r="S114">
        <v>39690</v>
      </c>
      <c r="T114" t="s">
        <v>489</v>
      </c>
      <c r="U114" t="s">
        <v>490</v>
      </c>
      <c r="V114">
        <v>10.28</v>
      </c>
      <c r="W114">
        <v>1</v>
      </c>
      <c r="X114">
        <v>22335.5</v>
      </c>
      <c r="Z114" t="s">
        <v>491</v>
      </c>
      <c r="AA114" t="s">
        <v>491</v>
      </c>
      <c r="AB114" t="s">
        <v>491</v>
      </c>
      <c r="AC114" t="s">
        <v>491</v>
      </c>
      <c r="AD114" t="s">
        <v>492</v>
      </c>
      <c r="AE114" t="s">
        <v>492</v>
      </c>
      <c r="AF114">
        <v>2</v>
      </c>
      <c r="AG114">
        <v>2</v>
      </c>
      <c r="AH114">
        <v>0</v>
      </c>
      <c r="AI114">
        <v>0</v>
      </c>
      <c r="AJ114">
        <v>0</v>
      </c>
      <c r="AK114">
        <v>0</v>
      </c>
      <c r="AL114">
        <v>0</v>
      </c>
      <c r="AM114">
        <v>2</v>
      </c>
      <c r="AN114" t="s">
        <v>493</v>
      </c>
      <c r="AO114" t="s">
        <v>494</v>
      </c>
      <c r="AP114">
        <v>20</v>
      </c>
      <c r="AQ114" t="s">
        <v>495</v>
      </c>
      <c r="AR114" t="s">
        <v>496</v>
      </c>
      <c r="AS114">
        <v>5</v>
      </c>
      <c r="AT114" t="s">
        <v>497</v>
      </c>
      <c r="AU114" t="s">
        <v>940</v>
      </c>
      <c r="AV114" t="s">
        <v>498</v>
      </c>
      <c r="AW114" t="s">
        <v>942</v>
      </c>
      <c r="AX114">
        <v>44.797049169999987</v>
      </c>
      <c r="AY114">
        <v>-68.761350610000008</v>
      </c>
      <c r="AZ114">
        <v>10</v>
      </c>
      <c r="BA114" t="s">
        <v>548</v>
      </c>
      <c r="BB114" t="s">
        <v>501</v>
      </c>
      <c r="BC114">
        <v>4041936</v>
      </c>
      <c r="BD114">
        <v>4</v>
      </c>
      <c r="BE114" t="s">
        <v>502</v>
      </c>
      <c r="BF114" t="s">
        <v>503</v>
      </c>
      <c r="BG114" t="s">
        <v>504</v>
      </c>
      <c r="BH114" t="s">
        <v>505</v>
      </c>
      <c r="BI114">
        <v>312417</v>
      </c>
      <c r="BJ114">
        <v>0</v>
      </c>
    </row>
    <row r="115" spans="1:62" x14ac:dyDescent="0.35">
      <c r="A115" t="s">
        <v>477</v>
      </c>
      <c r="B115" t="s">
        <v>943</v>
      </c>
      <c r="C115" s="292">
        <v>44617</v>
      </c>
      <c r="D115" t="s">
        <v>479</v>
      </c>
      <c r="E115" t="s">
        <v>549</v>
      </c>
      <c r="F115" t="s">
        <v>582</v>
      </c>
      <c r="G115">
        <v>2022</v>
      </c>
      <c r="H115" t="s">
        <v>724</v>
      </c>
      <c r="I115" t="s">
        <v>482</v>
      </c>
      <c r="J115" t="s">
        <v>510</v>
      </c>
      <c r="K115" t="s">
        <v>484</v>
      </c>
      <c r="L115" t="s">
        <v>590</v>
      </c>
      <c r="M115" t="s">
        <v>590</v>
      </c>
      <c r="N115" t="s">
        <v>487</v>
      </c>
      <c r="O115" t="s">
        <v>488</v>
      </c>
      <c r="Q115" t="s">
        <v>488</v>
      </c>
      <c r="S115">
        <v>39690</v>
      </c>
      <c r="T115" t="s">
        <v>489</v>
      </c>
      <c r="U115" t="s">
        <v>490</v>
      </c>
      <c r="V115">
        <v>10.28</v>
      </c>
      <c r="W115">
        <v>1</v>
      </c>
      <c r="X115">
        <v>22335.5</v>
      </c>
      <c r="Z115" t="s">
        <v>491</v>
      </c>
      <c r="AA115" t="s">
        <v>491</v>
      </c>
      <c r="AB115" t="s">
        <v>491</v>
      </c>
      <c r="AC115" t="s">
        <v>491</v>
      </c>
      <c r="AD115" t="s">
        <v>492</v>
      </c>
      <c r="AE115" t="s">
        <v>492</v>
      </c>
      <c r="AF115">
        <v>2</v>
      </c>
      <c r="AG115">
        <v>2</v>
      </c>
      <c r="AH115">
        <v>0</v>
      </c>
      <c r="AI115">
        <v>0</v>
      </c>
      <c r="AJ115">
        <v>0</v>
      </c>
      <c r="AK115">
        <v>0</v>
      </c>
      <c r="AL115">
        <v>0</v>
      </c>
      <c r="AM115">
        <v>2</v>
      </c>
      <c r="AN115" t="s">
        <v>493</v>
      </c>
      <c r="AO115" t="s">
        <v>494</v>
      </c>
      <c r="AP115">
        <v>16</v>
      </c>
      <c r="AQ115" t="s">
        <v>495</v>
      </c>
      <c r="AR115" t="s">
        <v>496</v>
      </c>
      <c r="AS115">
        <v>6</v>
      </c>
      <c r="AT115" t="s">
        <v>497</v>
      </c>
      <c r="AU115" t="s">
        <v>944</v>
      </c>
      <c r="AV115" t="s">
        <v>498</v>
      </c>
      <c r="AW115" t="s">
        <v>945</v>
      </c>
      <c r="AX115">
        <v>44.797049169999987</v>
      </c>
      <c r="AY115">
        <v>-68.761350610000008</v>
      </c>
      <c r="AZ115">
        <v>2</v>
      </c>
      <c r="BA115" t="s">
        <v>675</v>
      </c>
      <c r="BB115" t="s">
        <v>501</v>
      </c>
      <c r="BC115">
        <v>4041936</v>
      </c>
      <c r="BD115">
        <v>4</v>
      </c>
      <c r="BE115" t="s">
        <v>502</v>
      </c>
      <c r="BF115" t="s">
        <v>503</v>
      </c>
      <c r="BG115" t="s">
        <v>504</v>
      </c>
      <c r="BH115" t="s">
        <v>505</v>
      </c>
      <c r="BI115">
        <v>313926</v>
      </c>
      <c r="BJ115">
        <v>0</v>
      </c>
    </row>
    <row r="116" spans="1:62" x14ac:dyDescent="0.35">
      <c r="A116" t="s">
        <v>477</v>
      </c>
      <c r="B116" t="s">
        <v>946</v>
      </c>
      <c r="C116" s="292">
        <v>43613</v>
      </c>
      <c r="D116" t="s">
        <v>479</v>
      </c>
      <c r="E116" t="s">
        <v>541</v>
      </c>
      <c r="F116" t="s">
        <v>947</v>
      </c>
      <c r="G116">
        <v>2019</v>
      </c>
      <c r="H116" t="s">
        <v>396</v>
      </c>
      <c r="I116" t="s">
        <v>482</v>
      </c>
      <c r="J116" t="s">
        <v>483</v>
      </c>
      <c r="K116" t="s">
        <v>484</v>
      </c>
      <c r="L116" t="s">
        <v>485</v>
      </c>
      <c r="M116" t="s">
        <v>486</v>
      </c>
      <c r="N116" t="s">
        <v>487</v>
      </c>
      <c r="O116" t="s">
        <v>488</v>
      </c>
      <c r="Q116" t="s">
        <v>488</v>
      </c>
      <c r="S116">
        <v>39690</v>
      </c>
      <c r="T116" t="s">
        <v>489</v>
      </c>
      <c r="U116" t="s">
        <v>490</v>
      </c>
      <c r="V116">
        <v>10.28</v>
      </c>
      <c r="W116">
        <v>1</v>
      </c>
      <c r="X116">
        <v>22335.5</v>
      </c>
      <c r="Z116" t="s">
        <v>491</v>
      </c>
      <c r="AA116" t="s">
        <v>491</v>
      </c>
      <c r="AB116" t="s">
        <v>491</v>
      </c>
      <c r="AC116" t="s">
        <v>491</v>
      </c>
      <c r="AD116" t="s">
        <v>492</v>
      </c>
      <c r="AE116" t="s">
        <v>492</v>
      </c>
      <c r="AF116">
        <v>2</v>
      </c>
      <c r="AG116">
        <v>2</v>
      </c>
      <c r="AH116">
        <v>0</v>
      </c>
      <c r="AI116">
        <v>0</v>
      </c>
      <c r="AJ116">
        <v>0</v>
      </c>
      <c r="AK116">
        <v>0</v>
      </c>
      <c r="AL116">
        <v>0</v>
      </c>
      <c r="AM116">
        <v>2</v>
      </c>
      <c r="AN116" t="s">
        <v>493</v>
      </c>
      <c r="AO116" t="s">
        <v>494</v>
      </c>
      <c r="AP116">
        <v>6</v>
      </c>
      <c r="AQ116" t="s">
        <v>495</v>
      </c>
      <c r="AR116" t="s">
        <v>496</v>
      </c>
      <c r="AS116">
        <v>3</v>
      </c>
      <c r="AT116" t="s">
        <v>497</v>
      </c>
      <c r="AU116" t="s">
        <v>946</v>
      </c>
      <c r="AV116" t="s">
        <v>498</v>
      </c>
      <c r="AW116" t="s">
        <v>948</v>
      </c>
      <c r="AX116">
        <v>44.797049169999987</v>
      </c>
      <c r="AY116">
        <v>-68.761350610000008</v>
      </c>
      <c r="AZ116">
        <v>5</v>
      </c>
      <c r="BA116" t="s">
        <v>597</v>
      </c>
      <c r="BB116" t="s">
        <v>501</v>
      </c>
      <c r="BC116">
        <v>4041936</v>
      </c>
      <c r="BD116">
        <v>4</v>
      </c>
      <c r="BE116" t="s">
        <v>502</v>
      </c>
      <c r="BF116" t="s">
        <v>503</v>
      </c>
      <c r="BG116" t="s">
        <v>504</v>
      </c>
      <c r="BH116" t="s">
        <v>505</v>
      </c>
      <c r="BI116">
        <v>315117</v>
      </c>
      <c r="BJ116">
        <v>0</v>
      </c>
    </row>
    <row r="117" spans="1:62" x14ac:dyDescent="0.35">
      <c r="A117" t="s">
        <v>477</v>
      </c>
      <c r="B117" t="s">
        <v>949</v>
      </c>
      <c r="C117" s="292">
        <v>43566</v>
      </c>
      <c r="D117" t="s">
        <v>479</v>
      </c>
      <c r="E117" t="s">
        <v>516</v>
      </c>
      <c r="F117" t="s">
        <v>599</v>
      </c>
      <c r="G117">
        <v>2019</v>
      </c>
      <c r="H117" t="s">
        <v>396</v>
      </c>
      <c r="I117" t="s">
        <v>482</v>
      </c>
      <c r="J117" t="s">
        <v>483</v>
      </c>
      <c r="K117" t="s">
        <v>484</v>
      </c>
      <c r="L117" t="s">
        <v>485</v>
      </c>
      <c r="M117" t="s">
        <v>486</v>
      </c>
      <c r="N117" t="s">
        <v>487</v>
      </c>
      <c r="O117" t="s">
        <v>518</v>
      </c>
      <c r="Q117" t="s">
        <v>488</v>
      </c>
      <c r="S117">
        <v>39690</v>
      </c>
      <c r="T117" t="s">
        <v>489</v>
      </c>
      <c r="U117" t="s">
        <v>490</v>
      </c>
      <c r="V117">
        <v>10.28</v>
      </c>
      <c r="W117">
        <v>1</v>
      </c>
      <c r="X117">
        <v>22335.5</v>
      </c>
      <c r="Z117" t="s">
        <v>491</v>
      </c>
      <c r="AA117" t="s">
        <v>491</v>
      </c>
      <c r="AB117" t="s">
        <v>491</v>
      </c>
      <c r="AC117" t="s">
        <v>491</v>
      </c>
      <c r="AD117" t="s">
        <v>492</v>
      </c>
      <c r="AE117" t="s">
        <v>492</v>
      </c>
      <c r="AF117">
        <v>2</v>
      </c>
      <c r="AG117">
        <v>5</v>
      </c>
      <c r="AH117">
        <v>0</v>
      </c>
      <c r="AI117">
        <v>0</v>
      </c>
      <c r="AJ117">
        <v>0</v>
      </c>
      <c r="AK117">
        <v>0</v>
      </c>
      <c r="AL117">
        <v>0</v>
      </c>
      <c r="AM117">
        <v>5</v>
      </c>
      <c r="AN117" t="s">
        <v>493</v>
      </c>
      <c r="AO117" t="s">
        <v>494</v>
      </c>
      <c r="AP117">
        <v>10</v>
      </c>
      <c r="AQ117" t="s">
        <v>495</v>
      </c>
      <c r="AR117" t="s">
        <v>496</v>
      </c>
      <c r="AS117">
        <v>5</v>
      </c>
      <c r="AT117" t="s">
        <v>497</v>
      </c>
      <c r="AU117" t="s">
        <v>949</v>
      </c>
      <c r="AV117" t="s">
        <v>498</v>
      </c>
      <c r="AW117" t="s">
        <v>950</v>
      </c>
      <c r="AX117">
        <v>44.797049169999987</v>
      </c>
      <c r="AY117">
        <v>-68.761350610000008</v>
      </c>
      <c r="AZ117">
        <v>4</v>
      </c>
      <c r="BA117" t="s">
        <v>606</v>
      </c>
      <c r="BB117" t="s">
        <v>501</v>
      </c>
      <c r="BC117">
        <v>4041936</v>
      </c>
      <c r="BD117">
        <v>4</v>
      </c>
      <c r="BE117" t="s">
        <v>502</v>
      </c>
      <c r="BF117" t="s">
        <v>503</v>
      </c>
      <c r="BG117" t="s">
        <v>504</v>
      </c>
      <c r="BH117" t="s">
        <v>505</v>
      </c>
      <c r="BI117">
        <v>325654</v>
      </c>
      <c r="BJ117">
        <v>0</v>
      </c>
    </row>
    <row r="118" spans="1:62" x14ac:dyDescent="0.35">
      <c r="A118" t="s">
        <v>477</v>
      </c>
      <c r="B118" t="s">
        <v>951</v>
      </c>
      <c r="C118" s="292">
        <v>43564</v>
      </c>
      <c r="D118" t="s">
        <v>479</v>
      </c>
      <c r="E118" t="s">
        <v>541</v>
      </c>
      <c r="F118" t="s">
        <v>952</v>
      </c>
      <c r="G118">
        <v>2019</v>
      </c>
      <c r="H118" t="s">
        <v>724</v>
      </c>
      <c r="I118" t="s">
        <v>509</v>
      </c>
      <c r="J118" t="s">
        <v>510</v>
      </c>
      <c r="K118" t="s">
        <v>484</v>
      </c>
      <c r="L118" t="s">
        <v>590</v>
      </c>
      <c r="M118" t="s">
        <v>590</v>
      </c>
      <c r="N118" t="s">
        <v>492</v>
      </c>
      <c r="O118" t="s">
        <v>729</v>
      </c>
      <c r="Q118" t="s">
        <v>488</v>
      </c>
      <c r="S118">
        <v>39690</v>
      </c>
      <c r="T118" t="s">
        <v>489</v>
      </c>
      <c r="U118" t="s">
        <v>490</v>
      </c>
      <c r="V118">
        <v>10.28</v>
      </c>
      <c r="W118">
        <v>1</v>
      </c>
      <c r="X118">
        <v>22335.5</v>
      </c>
      <c r="Z118" t="s">
        <v>491</v>
      </c>
      <c r="AA118" t="s">
        <v>491</v>
      </c>
      <c r="AB118" t="s">
        <v>491</v>
      </c>
      <c r="AC118" t="s">
        <v>491</v>
      </c>
      <c r="AD118" t="s">
        <v>492</v>
      </c>
      <c r="AE118" t="s">
        <v>492</v>
      </c>
      <c r="AF118">
        <v>2</v>
      </c>
      <c r="AG118">
        <v>2</v>
      </c>
      <c r="AH118">
        <v>0</v>
      </c>
      <c r="AI118">
        <v>0</v>
      </c>
      <c r="AJ118">
        <v>0</v>
      </c>
      <c r="AK118">
        <v>0</v>
      </c>
      <c r="AL118">
        <v>0</v>
      </c>
      <c r="AM118">
        <v>2</v>
      </c>
      <c r="AN118" t="s">
        <v>493</v>
      </c>
      <c r="AO118" t="s">
        <v>494</v>
      </c>
      <c r="AP118">
        <v>19</v>
      </c>
      <c r="AQ118" t="s">
        <v>495</v>
      </c>
      <c r="AR118" t="s">
        <v>496</v>
      </c>
      <c r="AS118">
        <v>3</v>
      </c>
      <c r="AT118" t="s">
        <v>497</v>
      </c>
      <c r="AU118" t="s">
        <v>951</v>
      </c>
      <c r="AV118" t="s">
        <v>498</v>
      </c>
      <c r="AW118" t="s">
        <v>953</v>
      </c>
      <c r="AX118">
        <v>44.797049169999987</v>
      </c>
      <c r="AY118">
        <v>-68.761350610000008</v>
      </c>
      <c r="AZ118">
        <v>4</v>
      </c>
      <c r="BA118" t="s">
        <v>606</v>
      </c>
      <c r="BB118" t="s">
        <v>501</v>
      </c>
      <c r="BC118">
        <v>4041936</v>
      </c>
      <c r="BD118">
        <v>4</v>
      </c>
      <c r="BE118" t="s">
        <v>502</v>
      </c>
      <c r="BF118" t="s">
        <v>503</v>
      </c>
      <c r="BG118" t="s">
        <v>504</v>
      </c>
      <c r="BH118" t="s">
        <v>505</v>
      </c>
      <c r="BI118">
        <v>326620</v>
      </c>
      <c r="BJ118">
        <v>0</v>
      </c>
    </row>
    <row r="119" spans="1:62" x14ac:dyDescent="0.35">
      <c r="A119" t="s">
        <v>477</v>
      </c>
      <c r="B119" t="s">
        <v>954</v>
      </c>
      <c r="C119" s="292">
        <v>44696</v>
      </c>
      <c r="D119" t="s">
        <v>479</v>
      </c>
      <c r="E119" t="s">
        <v>594</v>
      </c>
      <c r="F119" t="s">
        <v>955</v>
      </c>
      <c r="G119">
        <v>2022</v>
      </c>
      <c r="H119" t="s">
        <v>396</v>
      </c>
      <c r="I119" t="s">
        <v>482</v>
      </c>
      <c r="J119" t="s">
        <v>510</v>
      </c>
      <c r="K119" t="s">
        <v>525</v>
      </c>
      <c r="L119" t="s">
        <v>485</v>
      </c>
      <c r="M119" t="s">
        <v>563</v>
      </c>
      <c r="N119" t="s">
        <v>487</v>
      </c>
      <c r="O119" t="s">
        <v>564</v>
      </c>
      <c r="Q119" t="s">
        <v>511</v>
      </c>
      <c r="S119">
        <v>39690</v>
      </c>
      <c r="T119" t="s">
        <v>489</v>
      </c>
      <c r="U119" t="s">
        <v>490</v>
      </c>
      <c r="V119">
        <v>10.28</v>
      </c>
      <c r="W119">
        <v>1</v>
      </c>
      <c r="X119">
        <v>22335.5</v>
      </c>
      <c r="Z119" t="s">
        <v>491</v>
      </c>
      <c r="AA119" t="s">
        <v>491</v>
      </c>
      <c r="AB119" t="s">
        <v>491</v>
      </c>
      <c r="AC119" t="s">
        <v>491</v>
      </c>
      <c r="AD119" t="s">
        <v>492</v>
      </c>
      <c r="AE119" t="s">
        <v>492</v>
      </c>
      <c r="AF119">
        <v>2</v>
      </c>
      <c r="AG119">
        <v>3</v>
      </c>
      <c r="AH119">
        <v>0</v>
      </c>
      <c r="AI119">
        <v>0</v>
      </c>
      <c r="AJ119">
        <v>0</v>
      </c>
      <c r="AK119">
        <v>0</v>
      </c>
      <c r="AL119">
        <v>0</v>
      </c>
      <c r="AM119">
        <v>3</v>
      </c>
      <c r="AN119" t="s">
        <v>493</v>
      </c>
      <c r="AO119" t="s">
        <v>494</v>
      </c>
      <c r="AP119">
        <v>12</v>
      </c>
      <c r="AQ119" t="s">
        <v>527</v>
      </c>
      <c r="AR119" t="s">
        <v>496</v>
      </c>
      <c r="AS119">
        <v>1</v>
      </c>
      <c r="AT119" t="s">
        <v>497</v>
      </c>
      <c r="AU119" t="s">
        <v>954</v>
      </c>
      <c r="AV119" t="s">
        <v>498</v>
      </c>
      <c r="AW119" t="s">
        <v>956</v>
      </c>
      <c r="AX119">
        <v>44.797342489999998</v>
      </c>
      <c r="AY119">
        <v>-68.761545810000001</v>
      </c>
      <c r="AZ119">
        <v>5</v>
      </c>
      <c r="BA119" t="s">
        <v>597</v>
      </c>
      <c r="BB119" t="s">
        <v>501</v>
      </c>
      <c r="BC119">
        <v>4041936</v>
      </c>
      <c r="BD119">
        <v>4</v>
      </c>
      <c r="BE119" t="s">
        <v>502</v>
      </c>
      <c r="BF119" t="s">
        <v>503</v>
      </c>
      <c r="BG119" t="s">
        <v>504</v>
      </c>
      <c r="BH119" t="s">
        <v>505</v>
      </c>
      <c r="BI119">
        <v>334336</v>
      </c>
      <c r="BJ119">
        <v>0</v>
      </c>
    </row>
    <row r="120" spans="1:62" x14ac:dyDescent="0.35">
      <c r="A120" t="s">
        <v>477</v>
      </c>
      <c r="B120" t="s">
        <v>957</v>
      </c>
      <c r="C120" s="292">
        <v>44510</v>
      </c>
      <c r="D120" t="s">
        <v>479</v>
      </c>
      <c r="E120" t="s">
        <v>574</v>
      </c>
      <c r="F120" t="s">
        <v>652</v>
      </c>
      <c r="G120">
        <v>2021</v>
      </c>
      <c r="H120" t="s">
        <v>396</v>
      </c>
      <c r="I120" t="s">
        <v>570</v>
      </c>
      <c r="J120" t="s">
        <v>510</v>
      </c>
      <c r="K120" t="s">
        <v>484</v>
      </c>
      <c r="L120" t="s">
        <v>485</v>
      </c>
      <c r="M120" t="s">
        <v>486</v>
      </c>
      <c r="N120" t="s">
        <v>487</v>
      </c>
      <c r="O120" t="s">
        <v>511</v>
      </c>
      <c r="Q120" t="s">
        <v>488</v>
      </c>
      <c r="S120">
        <v>39690</v>
      </c>
      <c r="T120" t="s">
        <v>489</v>
      </c>
      <c r="U120" t="s">
        <v>490</v>
      </c>
      <c r="V120">
        <v>10.28</v>
      </c>
      <c r="W120">
        <v>1</v>
      </c>
      <c r="X120">
        <v>22335.5</v>
      </c>
      <c r="Z120" t="s">
        <v>491</v>
      </c>
      <c r="AA120" t="s">
        <v>491</v>
      </c>
      <c r="AB120" t="s">
        <v>491</v>
      </c>
      <c r="AC120" t="s">
        <v>491</v>
      </c>
      <c r="AD120" t="s">
        <v>492</v>
      </c>
      <c r="AE120" t="s">
        <v>492</v>
      </c>
      <c r="AF120">
        <v>2</v>
      </c>
      <c r="AG120">
        <v>3</v>
      </c>
      <c r="AH120">
        <v>0</v>
      </c>
      <c r="AI120">
        <v>0</v>
      </c>
      <c r="AJ120">
        <v>0</v>
      </c>
      <c r="AK120">
        <v>0</v>
      </c>
      <c r="AL120">
        <v>0</v>
      </c>
      <c r="AM120">
        <v>3</v>
      </c>
      <c r="AN120" t="s">
        <v>493</v>
      </c>
      <c r="AO120" t="s">
        <v>494</v>
      </c>
      <c r="AP120">
        <v>17</v>
      </c>
      <c r="AQ120" t="s">
        <v>495</v>
      </c>
      <c r="AR120" t="s">
        <v>496</v>
      </c>
      <c r="AS120">
        <v>4</v>
      </c>
      <c r="AT120" t="s">
        <v>497</v>
      </c>
      <c r="AU120" t="s">
        <v>957</v>
      </c>
      <c r="AV120" t="s">
        <v>498</v>
      </c>
      <c r="AW120" t="s">
        <v>958</v>
      </c>
      <c r="AX120">
        <v>44.797049169999987</v>
      </c>
      <c r="AY120">
        <v>-68.761350610000008</v>
      </c>
      <c r="AZ120">
        <v>11</v>
      </c>
      <c r="BA120" t="s">
        <v>551</v>
      </c>
      <c r="BB120" t="s">
        <v>501</v>
      </c>
      <c r="BC120">
        <v>4041936</v>
      </c>
      <c r="BD120">
        <v>4</v>
      </c>
      <c r="BE120" t="s">
        <v>502</v>
      </c>
      <c r="BF120" t="s">
        <v>503</v>
      </c>
      <c r="BG120" t="s">
        <v>504</v>
      </c>
      <c r="BH120" t="s">
        <v>505</v>
      </c>
      <c r="BI120">
        <v>335125</v>
      </c>
      <c r="BJ120">
        <v>0</v>
      </c>
    </row>
    <row r="121" spans="1:62" x14ac:dyDescent="0.35">
      <c r="A121" t="s">
        <v>959</v>
      </c>
      <c r="B121" t="s">
        <v>960</v>
      </c>
      <c r="C121" s="292">
        <v>43803</v>
      </c>
      <c r="D121" t="s">
        <v>479</v>
      </c>
      <c r="E121" t="s">
        <v>574</v>
      </c>
      <c r="F121" t="s">
        <v>624</v>
      </c>
      <c r="G121">
        <v>2019</v>
      </c>
      <c r="H121" t="s">
        <v>396</v>
      </c>
      <c r="I121" t="s">
        <v>482</v>
      </c>
      <c r="J121" t="s">
        <v>510</v>
      </c>
      <c r="K121" t="s">
        <v>576</v>
      </c>
      <c r="L121" t="s">
        <v>590</v>
      </c>
      <c r="M121" t="s">
        <v>563</v>
      </c>
      <c r="O121" t="s">
        <v>488</v>
      </c>
      <c r="T121" t="s">
        <v>961</v>
      </c>
      <c r="U121" t="s">
        <v>962</v>
      </c>
      <c r="V121">
        <v>0.03</v>
      </c>
      <c r="W121">
        <v>5</v>
      </c>
      <c r="X121">
        <v>755</v>
      </c>
      <c r="Y121">
        <v>25</v>
      </c>
      <c r="Z121" t="s">
        <v>491</v>
      </c>
      <c r="AA121" t="s">
        <v>491</v>
      </c>
      <c r="AB121" t="s">
        <v>491</v>
      </c>
      <c r="AC121" t="s">
        <v>491</v>
      </c>
      <c r="AD121" t="s">
        <v>492</v>
      </c>
      <c r="AE121" t="s">
        <v>492</v>
      </c>
      <c r="AF121">
        <v>2</v>
      </c>
      <c r="AG121">
        <v>2</v>
      </c>
      <c r="AH121">
        <v>0</v>
      </c>
      <c r="AI121">
        <v>0</v>
      </c>
      <c r="AJ121">
        <v>0</v>
      </c>
      <c r="AK121">
        <v>0</v>
      </c>
      <c r="AL121">
        <v>0</v>
      </c>
      <c r="AM121">
        <v>1</v>
      </c>
      <c r="AN121" t="s">
        <v>493</v>
      </c>
      <c r="AO121" t="s">
        <v>494</v>
      </c>
      <c r="AP121">
        <v>13</v>
      </c>
      <c r="AQ121" t="s">
        <v>396</v>
      </c>
      <c r="AR121" t="s">
        <v>672</v>
      </c>
      <c r="AS121">
        <v>4</v>
      </c>
      <c r="AT121" t="s">
        <v>497</v>
      </c>
      <c r="AU121" t="s">
        <v>960</v>
      </c>
      <c r="AV121" t="s">
        <v>498</v>
      </c>
      <c r="AW121" t="s">
        <v>963</v>
      </c>
      <c r="AX121">
        <v>44.79200908</v>
      </c>
      <c r="AY121">
        <v>-68.75910257000001</v>
      </c>
      <c r="AZ121">
        <v>12</v>
      </c>
      <c r="BA121" t="s">
        <v>534</v>
      </c>
      <c r="BB121" t="s">
        <v>501</v>
      </c>
      <c r="BC121">
        <v>218069</v>
      </c>
      <c r="BD121">
        <v>4</v>
      </c>
      <c r="BE121" t="s">
        <v>502</v>
      </c>
      <c r="BF121" t="s">
        <v>503</v>
      </c>
      <c r="BG121" t="s">
        <v>504</v>
      </c>
      <c r="BH121" t="s">
        <v>560</v>
      </c>
      <c r="BI121">
        <v>48810</v>
      </c>
      <c r="BJ121">
        <v>0.03</v>
      </c>
    </row>
    <row r="122" spans="1:62" x14ac:dyDescent="0.35">
      <c r="A122" t="s">
        <v>959</v>
      </c>
      <c r="B122" t="s">
        <v>964</v>
      </c>
      <c r="C122" s="292">
        <v>44907</v>
      </c>
      <c r="D122" t="s">
        <v>479</v>
      </c>
      <c r="E122" t="s">
        <v>523</v>
      </c>
      <c r="F122" t="s">
        <v>965</v>
      </c>
      <c r="G122">
        <v>2022</v>
      </c>
      <c r="H122" t="s">
        <v>396</v>
      </c>
      <c r="I122" t="s">
        <v>482</v>
      </c>
      <c r="J122" t="s">
        <v>510</v>
      </c>
      <c r="K122" t="s">
        <v>556</v>
      </c>
      <c r="L122" t="s">
        <v>485</v>
      </c>
      <c r="M122" t="s">
        <v>486</v>
      </c>
      <c r="N122" t="s">
        <v>487</v>
      </c>
      <c r="O122" t="s">
        <v>966</v>
      </c>
      <c r="P122" t="s">
        <v>609</v>
      </c>
      <c r="T122" t="s">
        <v>961</v>
      </c>
      <c r="U122" t="s">
        <v>962</v>
      </c>
      <c r="V122">
        <v>0.04</v>
      </c>
      <c r="W122">
        <v>5</v>
      </c>
      <c r="X122">
        <v>755</v>
      </c>
      <c r="Y122">
        <v>25</v>
      </c>
      <c r="Z122" t="s">
        <v>491</v>
      </c>
      <c r="AA122" t="s">
        <v>491</v>
      </c>
      <c r="AC122" t="s">
        <v>491</v>
      </c>
      <c r="AD122" t="s">
        <v>492</v>
      </c>
      <c r="AE122" t="s">
        <v>492</v>
      </c>
      <c r="AF122">
        <v>2</v>
      </c>
      <c r="AG122">
        <v>2</v>
      </c>
      <c r="AH122">
        <v>0</v>
      </c>
      <c r="AI122">
        <v>0</v>
      </c>
      <c r="AJ122">
        <v>0</v>
      </c>
      <c r="AK122">
        <v>0</v>
      </c>
      <c r="AL122">
        <v>0</v>
      </c>
      <c r="AM122">
        <v>1</v>
      </c>
      <c r="AN122" t="s">
        <v>493</v>
      </c>
      <c r="AO122" t="s">
        <v>494</v>
      </c>
      <c r="AP122">
        <v>15</v>
      </c>
      <c r="AQ122" t="s">
        <v>795</v>
      </c>
      <c r="AR122" t="s">
        <v>672</v>
      </c>
      <c r="AS122">
        <v>2</v>
      </c>
      <c r="AT122" t="s">
        <v>497</v>
      </c>
      <c r="AU122" t="s">
        <v>964</v>
      </c>
      <c r="AV122" t="s">
        <v>498</v>
      </c>
      <c r="AW122" t="s">
        <v>967</v>
      </c>
      <c r="AX122">
        <v>44.79207787</v>
      </c>
      <c r="AY122">
        <v>-68.759149120000004</v>
      </c>
      <c r="AZ122">
        <v>12</v>
      </c>
      <c r="BA122" t="s">
        <v>534</v>
      </c>
      <c r="BB122" t="s">
        <v>501</v>
      </c>
      <c r="BC122">
        <v>218069</v>
      </c>
      <c r="BD122">
        <v>4</v>
      </c>
      <c r="BE122" t="s">
        <v>502</v>
      </c>
      <c r="BF122" t="s">
        <v>503</v>
      </c>
      <c r="BG122" t="s">
        <v>504</v>
      </c>
      <c r="BH122" t="s">
        <v>560</v>
      </c>
      <c r="BI122">
        <v>63869</v>
      </c>
      <c r="BJ122">
        <v>0.04</v>
      </c>
    </row>
    <row r="123" spans="1:62" x14ac:dyDescent="0.35">
      <c r="A123" t="s">
        <v>959</v>
      </c>
      <c r="B123" t="s">
        <v>968</v>
      </c>
      <c r="C123" s="292">
        <v>43728</v>
      </c>
      <c r="D123" t="s">
        <v>479</v>
      </c>
      <c r="E123" t="s">
        <v>549</v>
      </c>
      <c r="F123" t="s">
        <v>969</v>
      </c>
      <c r="G123">
        <v>2019</v>
      </c>
      <c r="H123" t="s">
        <v>396</v>
      </c>
      <c r="I123" t="s">
        <v>482</v>
      </c>
      <c r="J123" t="s">
        <v>510</v>
      </c>
      <c r="K123" t="s">
        <v>556</v>
      </c>
      <c r="L123" t="s">
        <v>485</v>
      </c>
      <c r="M123" t="s">
        <v>486</v>
      </c>
      <c r="O123" t="s">
        <v>488</v>
      </c>
      <c r="Q123" t="s">
        <v>496</v>
      </c>
      <c r="T123" t="s">
        <v>970</v>
      </c>
      <c r="U123" t="s">
        <v>971</v>
      </c>
      <c r="V123">
        <v>0.05</v>
      </c>
      <c r="W123">
        <v>2</v>
      </c>
      <c r="X123">
        <v>3580</v>
      </c>
      <c r="Y123">
        <v>25</v>
      </c>
      <c r="Z123" t="s">
        <v>491</v>
      </c>
      <c r="AA123" t="s">
        <v>491</v>
      </c>
      <c r="AB123" t="s">
        <v>491</v>
      </c>
      <c r="AC123" t="s">
        <v>491</v>
      </c>
      <c r="AD123" t="s">
        <v>492</v>
      </c>
      <c r="AE123" t="s">
        <v>492</v>
      </c>
      <c r="AF123">
        <v>2</v>
      </c>
      <c r="AG123">
        <v>2</v>
      </c>
      <c r="AH123">
        <v>0</v>
      </c>
      <c r="AI123">
        <v>0</v>
      </c>
      <c r="AJ123">
        <v>0</v>
      </c>
      <c r="AK123">
        <v>0</v>
      </c>
      <c r="AL123">
        <v>0</v>
      </c>
      <c r="AM123">
        <v>2</v>
      </c>
      <c r="AN123" t="s">
        <v>493</v>
      </c>
      <c r="AO123" t="s">
        <v>494</v>
      </c>
      <c r="AP123">
        <v>17</v>
      </c>
      <c r="AQ123" t="s">
        <v>396</v>
      </c>
      <c r="AR123" t="s">
        <v>558</v>
      </c>
      <c r="AS123">
        <v>6</v>
      </c>
      <c r="AT123" t="s">
        <v>497</v>
      </c>
      <c r="AU123" t="s">
        <v>968</v>
      </c>
      <c r="AV123" t="s">
        <v>498</v>
      </c>
      <c r="AW123" t="s">
        <v>972</v>
      </c>
      <c r="AX123">
        <v>44.79658397</v>
      </c>
      <c r="AY123">
        <v>-68.762419010000002</v>
      </c>
      <c r="AZ123">
        <v>9</v>
      </c>
      <c r="BA123" t="s">
        <v>601</v>
      </c>
      <c r="BB123" t="s">
        <v>501</v>
      </c>
      <c r="BC123">
        <v>4041895</v>
      </c>
      <c r="BD123">
        <v>4</v>
      </c>
      <c r="BE123" t="s">
        <v>502</v>
      </c>
      <c r="BF123" t="s">
        <v>503</v>
      </c>
      <c r="BG123" t="s">
        <v>504</v>
      </c>
      <c r="BH123" t="s">
        <v>560</v>
      </c>
      <c r="BI123">
        <v>65017</v>
      </c>
      <c r="BJ123">
        <v>0.01</v>
      </c>
    </row>
    <row r="124" spans="1:62" x14ac:dyDescent="0.35">
      <c r="A124" t="s">
        <v>959</v>
      </c>
      <c r="B124" t="s">
        <v>973</v>
      </c>
      <c r="C124" s="292">
        <v>43724</v>
      </c>
      <c r="D124" t="s">
        <v>479</v>
      </c>
      <c r="E124" t="s">
        <v>523</v>
      </c>
      <c r="F124" t="s">
        <v>974</v>
      </c>
      <c r="G124">
        <v>2019</v>
      </c>
      <c r="H124" t="s">
        <v>396</v>
      </c>
      <c r="I124" t="s">
        <v>482</v>
      </c>
      <c r="J124" t="s">
        <v>629</v>
      </c>
      <c r="K124" t="s">
        <v>556</v>
      </c>
      <c r="L124" t="s">
        <v>485</v>
      </c>
      <c r="M124" t="s">
        <v>563</v>
      </c>
      <c r="O124" t="s">
        <v>653</v>
      </c>
      <c r="T124" t="s">
        <v>489</v>
      </c>
      <c r="U124" t="s">
        <v>490</v>
      </c>
      <c r="V124">
        <v>10.25</v>
      </c>
      <c r="W124">
        <v>2</v>
      </c>
      <c r="X124">
        <v>6227</v>
      </c>
      <c r="Y124">
        <v>25</v>
      </c>
      <c r="Z124" t="s">
        <v>491</v>
      </c>
      <c r="AA124" t="s">
        <v>491</v>
      </c>
      <c r="AB124" t="s">
        <v>491</v>
      </c>
      <c r="AC124" t="s">
        <v>491</v>
      </c>
      <c r="AD124" t="s">
        <v>492</v>
      </c>
      <c r="AE124" t="s">
        <v>492</v>
      </c>
      <c r="AF124">
        <v>1</v>
      </c>
      <c r="AG124">
        <v>1</v>
      </c>
      <c r="AH124">
        <v>1</v>
      </c>
      <c r="AI124">
        <v>0</v>
      </c>
      <c r="AJ124">
        <v>0</v>
      </c>
      <c r="AK124">
        <v>0</v>
      </c>
      <c r="AL124">
        <v>1</v>
      </c>
      <c r="AM124">
        <v>0</v>
      </c>
      <c r="AN124" t="s">
        <v>519</v>
      </c>
      <c r="AO124" t="s">
        <v>494</v>
      </c>
      <c r="AP124">
        <v>14</v>
      </c>
      <c r="AQ124" t="s">
        <v>396</v>
      </c>
      <c r="AR124" t="s">
        <v>558</v>
      </c>
      <c r="AS124">
        <v>2</v>
      </c>
      <c r="AT124" t="s">
        <v>497</v>
      </c>
      <c r="AU124" t="s">
        <v>973</v>
      </c>
      <c r="AV124" t="s">
        <v>498</v>
      </c>
      <c r="AW124" t="s">
        <v>975</v>
      </c>
      <c r="AX124">
        <v>44.796836979999988</v>
      </c>
      <c r="AY124">
        <v>-68.761809809999988</v>
      </c>
      <c r="AZ124">
        <v>9</v>
      </c>
      <c r="BA124" t="s">
        <v>601</v>
      </c>
      <c r="BB124" t="s">
        <v>501</v>
      </c>
      <c r="BC124">
        <v>4041935</v>
      </c>
      <c r="BD124">
        <v>4</v>
      </c>
      <c r="BE124" t="s">
        <v>502</v>
      </c>
      <c r="BF124" t="s">
        <v>503</v>
      </c>
      <c r="BG124" t="s">
        <v>504</v>
      </c>
      <c r="BH124" t="s">
        <v>560</v>
      </c>
      <c r="BI124">
        <v>66965</v>
      </c>
      <c r="BJ124">
        <v>0.01</v>
      </c>
    </row>
    <row r="125" spans="1:62" x14ac:dyDescent="0.35">
      <c r="A125" t="s">
        <v>959</v>
      </c>
      <c r="B125" t="s">
        <v>976</v>
      </c>
      <c r="C125" s="292">
        <v>44211</v>
      </c>
      <c r="D125" t="s">
        <v>479</v>
      </c>
      <c r="E125" t="s">
        <v>549</v>
      </c>
      <c r="F125" t="s">
        <v>977</v>
      </c>
      <c r="G125">
        <v>2021</v>
      </c>
      <c r="H125" t="s">
        <v>396</v>
      </c>
      <c r="I125" t="s">
        <v>532</v>
      </c>
      <c r="J125" t="s">
        <v>510</v>
      </c>
      <c r="K125" t="s">
        <v>576</v>
      </c>
      <c r="L125" t="s">
        <v>485</v>
      </c>
      <c r="M125" t="s">
        <v>486</v>
      </c>
      <c r="O125" t="s">
        <v>630</v>
      </c>
      <c r="S125">
        <v>39688</v>
      </c>
      <c r="T125" t="s">
        <v>489</v>
      </c>
      <c r="U125" t="s">
        <v>490</v>
      </c>
      <c r="V125">
        <v>10.210000000000001</v>
      </c>
      <c r="W125">
        <v>2</v>
      </c>
      <c r="X125">
        <v>6895</v>
      </c>
      <c r="Z125" t="s">
        <v>491</v>
      </c>
      <c r="AA125" t="s">
        <v>491</v>
      </c>
      <c r="AB125" t="s">
        <v>491</v>
      </c>
      <c r="AC125" t="s">
        <v>491</v>
      </c>
      <c r="AD125" t="s">
        <v>492</v>
      </c>
      <c r="AE125" t="s">
        <v>492</v>
      </c>
      <c r="AF125">
        <v>1</v>
      </c>
      <c r="AG125">
        <v>1</v>
      </c>
      <c r="AH125">
        <v>0</v>
      </c>
      <c r="AI125">
        <v>0</v>
      </c>
      <c r="AJ125">
        <v>0</v>
      </c>
      <c r="AK125">
        <v>0</v>
      </c>
      <c r="AL125">
        <v>0</v>
      </c>
      <c r="AM125">
        <v>1</v>
      </c>
      <c r="AN125" t="s">
        <v>493</v>
      </c>
      <c r="AO125" t="s">
        <v>494</v>
      </c>
      <c r="AP125">
        <v>19</v>
      </c>
      <c r="AQ125" t="s">
        <v>396</v>
      </c>
      <c r="AR125" t="s">
        <v>496</v>
      </c>
      <c r="AS125">
        <v>6</v>
      </c>
      <c r="AT125" t="s">
        <v>497</v>
      </c>
      <c r="AU125" t="s">
        <v>978</v>
      </c>
      <c r="AV125" t="s">
        <v>498</v>
      </c>
      <c r="AW125" t="s">
        <v>979</v>
      </c>
      <c r="AX125">
        <v>44.796494680000002</v>
      </c>
      <c r="AY125">
        <v>-68.762539459999999</v>
      </c>
      <c r="AZ125">
        <v>1</v>
      </c>
      <c r="BA125" t="s">
        <v>514</v>
      </c>
      <c r="BB125" t="s">
        <v>501</v>
      </c>
      <c r="BC125">
        <v>4041898</v>
      </c>
      <c r="BD125">
        <v>4</v>
      </c>
      <c r="BE125" t="s">
        <v>502</v>
      </c>
      <c r="BF125" t="s">
        <v>503</v>
      </c>
      <c r="BG125" t="s">
        <v>504</v>
      </c>
      <c r="BH125" t="s">
        <v>505</v>
      </c>
      <c r="BI125">
        <v>161667</v>
      </c>
      <c r="BJ125">
        <v>0</v>
      </c>
    </row>
    <row r="126" spans="1:62" x14ac:dyDescent="0.35">
      <c r="A126" t="s">
        <v>959</v>
      </c>
      <c r="B126" t="s">
        <v>980</v>
      </c>
      <c r="C126" s="292">
        <v>43818</v>
      </c>
      <c r="D126" t="s">
        <v>479</v>
      </c>
      <c r="E126" t="s">
        <v>516</v>
      </c>
      <c r="F126" t="s">
        <v>981</v>
      </c>
      <c r="G126">
        <v>2019</v>
      </c>
      <c r="H126" t="s">
        <v>396</v>
      </c>
      <c r="I126" t="s">
        <v>482</v>
      </c>
      <c r="J126" t="s">
        <v>483</v>
      </c>
      <c r="K126" t="s">
        <v>484</v>
      </c>
      <c r="L126" t="s">
        <v>590</v>
      </c>
      <c r="M126" t="s">
        <v>486</v>
      </c>
      <c r="N126" t="s">
        <v>487</v>
      </c>
      <c r="O126" t="s">
        <v>982</v>
      </c>
      <c r="Q126" t="s">
        <v>488</v>
      </c>
      <c r="S126">
        <v>38315</v>
      </c>
      <c r="T126" t="s">
        <v>961</v>
      </c>
      <c r="U126" t="s">
        <v>962</v>
      </c>
      <c r="V126">
        <v>7.0000000000000007E-2</v>
      </c>
      <c r="W126">
        <v>5</v>
      </c>
      <c r="X126">
        <v>991</v>
      </c>
      <c r="Z126" t="s">
        <v>491</v>
      </c>
      <c r="AA126" t="s">
        <v>491</v>
      </c>
      <c r="AB126" t="s">
        <v>491</v>
      </c>
      <c r="AC126" t="s">
        <v>491</v>
      </c>
      <c r="AD126" t="s">
        <v>492</v>
      </c>
      <c r="AE126" t="s">
        <v>492</v>
      </c>
      <c r="AF126">
        <v>2</v>
      </c>
      <c r="AG126">
        <v>2</v>
      </c>
      <c r="AH126">
        <v>0</v>
      </c>
      <c r="AI126">
        <v>0</v>
      </c>
      <c r="AJ126">
        <v>0</v>
      </c>
      <c r="AK126">
        <v>0</v>
      </c>
      <c r="AL126">
        <v>0</v>
      </c>
      <c r="AM126">
        <v>2</v>
      </c>
      <c r="AN126" t="s">
        <v>493</v>
      </c>
      <c r="AO126" t="s">
        <v>494</v>
      </c>
      <c r="AP126">
        <v>11</v>
      </c>
      <c r="AQ126" t="s">
        <v>795</v>
      </c>
      <c r="AR126" t="s">
        <v>496</v>
      </c>
      <c r="AS126">
        <v>5</v>
      </c>
      <c r="AT126" t="s">
        <v>497</v>
      </c>
      <c r="AU126" t="s">
        <v>980</v>
      </c>
      <c r="AV126" t="s">
        <v>498</v>
      </c>
      <c r="AW126" t="s">
        <v>983</v>
      </c>
      <c r="AX126">
        <v>44.79245976</v>
      </c>
      <c r="AY126">
        <v>-68.75940756</v>
      </c>
      <c r="AZ126">
        <v>12</v>
      </c>
      <c r="BA126" t="s">
        <v>534</v>
      </c>
      <c r="BB126" t="s">
        <v>501</v>
      </c>
      <c r="BC126">
        <v>218072</v>
      </c>
      <c r="BD126">
        <v>4</v>
      </c>
      <c r="BE126" t="s">
        <v>502</v>
      </c>
      <c r="BF126" t="s">
        <v>503</v>
      </c>
      <c r="BG126" t="s">
        <v>504</v>
      </c>
      <c r="BH126" t="s">
        <v>505</v>
      </c>
      <c r="BI126">
        <v>214203</v>
      </c>
      <c r="BJ126">
        <v>0</v>
      </c>
    </row>
    <row r="127" spans="1:62" x14ac:dyDescent="0.35">
      <c r="A127" t="s">
        <v>959</v>
      </c>
      <c r="B127" t="s">
        <v>984</v>
      </c>
      <c r="C127" s="292">
        <v>45589</v>
      </c>
      <c r="D127" t="s">
        <v>479</v>
      </c>
      <c r="E127" t="s">
        <v>801</v>
      </c>
      <c r="F127" t="s">
        <v>542</v>
      </c>
      <c r="G127">
        <v>2024</v>
      </c>
      <c r="H127" t="s">
        <v>396</v>
      </c>
      <c r="I127" t="s">
        <v>482</v>
      </c>
      <c r="J127" t="s">
        <v>483</v>
      </c>
      <c r="K127" t="s">
        <v>576</v>
      </c>
      <c r="L127" t="s">
        <v>485</v>
      </c>
      <c r="M127" t="s">
        <v>486</v>
      </c>
      <c r="O127" t="s">
        <v>985</v>
      </c>
      <c r="Q127" t="s">
        <v>985</v>
      </c>
      <c r="S127">
        <v>38316</v>
      </c>
      <c r="T127" t="s">
        <v>986</v>
      </c>
      <c r="U127" t="s">
        <v>987</v>
      </c>
      <c r="V127">
        <v>0</v>
      </c>
      <c r="W127">
        <v>5</v>
      </c>
      <c r="X127">
        <v>401.5</v>
      </c>
      <c r="Z127" t="s">
        <v>491</v>
      </c>
      <c r="AA127" t="s">
        <v>491</v>
      </c>
      <c r="AC127" t="s">
        <v>491</v>
      </c>
      <c r="AD127" t="s">
        <v>492</v>
      </c>
      <c r="AE127" t="s">
        <v>492</v>
      </c>
      <c r="AF127">
        <v>2</v>
      </c>
      <c r="AG127">
        <v>2</v>
      </c>
      <c r="AH127">
        <v>0</v>
      </c>
      <c r="AI127">
        <v>0</v>
      </c>
      <c r="AJ127">
        <v>0</v>
      </c>
      <c r="AK127">
        <v>0</v>
      </c>
      <c r="AL127">
        <v>0</v>
      </c>
      <c r="AM127">
        <v>2</v>
      </c>
      <c r="AN127" t="s">
        <v>493</v>
      </c>
      <c r="AO127" t="s">
        <v>494</v>
      </c>
      <c r="AP127">
        <v>11</v>
      </c>
      <c r="AQ127" t="s">
        <v>396</v>
      </c>
      <c r="AR127" t="s">
        <v>496</v>
      </c>
      <c r="AS127">
        <v>5</v>
      </c>
      <c r="AT127" t="s">
        <v>497</v>
      </c>
      <c r="AU127" t="s">
        <v>984</v>
      </c>
      <c r="AV127" t="s">
        <v>498</v>
      </c>
      <c r="AW127" t="s">
        <v>988</v>
      </c>
      <c r="AX127">
        <v>44.793385740000012</v>
      </c>
      <c r="AY127">
        <v>-68.760034270000006</v>
      </c>
      <c r="AZ127">
        <v>10</v>
      </c>
      <c r="BA127" t="s">
        <v>548</v>
      </c>
      <c r="BB127" t="s">
        <v>501</v>
      </c>
      <c r="BC127">
        <v>218074</v>
      </c>
      <c r="BD127">
        <v>4</v>
      </c>
      <c r="BE127" t="s">
        <v>502</v>
      </c>
      <c r="BF127" t="s">
        <v>503</v>
      </c>
      <c r="BG127" t="s">
        <v>504</v>
      </c>
      <c r="BH127" t="s">
        <v>505</v>
      </c>
      <c r="BI127">
        <v>223255</v>
      </c>
      <c r="BJ127">
        <v>0</v>
      </c>
    </row>
    <row r="128" spans="1:62" x14ac:dyDescent="0.35">
      <c r="A128" t="s">
        <v>959</v>
      </c>
      <c r="B128" t="s">
        <v>989</v>
      </c>
      <c r="C128" s="292">
        <v>43307</v>
      </c>
      <c r="D128" t="s">
        <v>479</v>
      </c>
      <c r="E128" t="s">
        <v>516</v>
      </c>
      <c r="F128" t="s">
        <v>990</v>
      </c>
      <c r="G128">
        <v>2018</v>
      </c>
      <c r="H128" t="s">
        <v>396</v>
      </c>
      <c r="I128" t="s">
        <v>482</v>
      </c>
      <c r="J128" t="s">
        <v>483</v>
      </c>
      <c r="K128" t="s">
        <v>525</v>
      </c>
      <c r="L128" t="s">
        <v>526</v>
      </c>
      <c r="M128" t="s">
        <v>665</v>
      </c>
      <c r="N128" t="s">
        <v>487</v>
      </c>
      <c r="O128" t="s">
        <v>553</v>
      </c>
      <c r="Q128" t="s">
        <v>488</v>
      </c>
      <c r="S128">
        <v>65528</v>
      </c>
      <c r="T128" t="s">
        <v>970</v>
      </c>
      <c r="U128" t="s">
        <v>971</v>
      </c>
      <c r="V128">
        <v>0.04</v>
      </c>
      <c r="W128">
        <v>2</v>
      </c>
      <c r="X128">
        <v>3571</v>
      </c>
      <c r="Z128" t="s">
        <v>491</v>
      </c>
      <c r="AA128" t="s">
        <v>491</v>
      </c>
      <c r="AB128" t="s">
        <v>491</v>
      </c>
      <c r="AC128" t="s">
        <v>491</v>
      </c>
      <c r="AD128" t="s">
        <v>492</v>
      </c>
      <c r="AE128" t="s">
        <v>492</v>
      </c>
      <c r="AF128">
        <v>2</v>
      </c>
      <c r="AG128">
        <v>2</v>
      </c>
      <c r="AH128">
        <v>0</v>
      </c>
      <c r="AI128">
        <v>0</v>
      </c>
      <c r="AJ128">
        <v>0</v>
      </c>
      <c r="AK128">
        <v>0</v>
      </c>
      <c r="AL128">
        <v>0</v>
      </c>
      <c r="AM128">
        <v>2</v>
      </c>
      <c r="AN128" t="s">
        <v>493</v>
      </c>
      <c r="AO128" t="s">
        <v>494</v>
      </c>
      <c r="AP128">
        <v>10</v>
      </c>
      <c r="AQ128" t="s">
        <v>795</v>
      </c>
      <c r="AR128" t="s">
        <v>496</v>
      </c>
      <c r="AS128">
        <v>5</v>
      </c>
      <c r="AT128" t="s">
        <v>497</v>
      </c>
      <c r="AU128" t="s">
        <v>989</v>
      </c>
      <c r="AV128" t="s">
        <v>498</v>
      </c>
      <c r="AW128" t="s">
        <v>991</v>
      </c>
      <c r="AX128">
        <v>44.796631679999997</v>
      </c>
      <c r="AY128">
        <v>-68.762321349999993</v>
      </c>
      <c r="AZ128">
        <v>7</v>
      </c>
      <c r="BA128" t="s">
        <v>500</v>
      </c>
      <c r="BB128" t="s">
        <v>501</v>
      </c>
      <c r="BC128">
        <v>4041895</v>
      </c>
      <c r="BD128">
        <v>4</v>
      </c>
      <c r="BE128" t="s">
        <v>502</v>
      </c>
      <c r="BF128" t="s">
        <v>503</v>
      </c>
      <c r="BG128" t="s">
        <v>504</v>
      </c>
      <c r="BH128" t="s">
        <v>505</v>
      </c>
      <c r="BI128">
        <v>229586</v>
      </c>
      <c r="BJ128">
        <v>0</v>
      </c>
    </row>
    <row r="129" spans="1:62" x14ac:dyDescent="0.35">
      <c r="A129" t="s">
        <v>959</v>
      </c>
      <c r="B129" t="s">
        <v>992</v>
      </c>
      <c r="C129" s="292">
        <v>43607</v>
      </c>
      <c r="D129" t="s">
        <v>479</v>
      </c>
      <c r="E129" t="s">
        <v>574</v>
      </c>
      <c r="F129" t="s">
        <v>993</v>
      </c>
      <c r="G129">
        <v>2019</v>
      </c>
      <c r="H129" t="s">
        <v>396</v>
      </c>
      <c r="I129" t="s">
        <v>482</v>
      </c>
      <c r="J129" t="s">
        <v>510</v>
      </c>
      <c r="K129" t="s">
        <v>556</v>
      </c>
      <c r="L129" t="s">
        <v>485</v>
      </c>
      <c r="M129" t="s">
        <v>486</v>
      </c>
      <c r="O129" t="s">
        <v>488</v>
      </c>
      <c r="T129" t="s">
        <v>961</v>
      </c>
      <c r="U129" t="s">
        <v>962</v>
      </c>
      <c r="V129">
        <v>0.11</v>
      </c>
      <c r="W129">
        <v>5</v>
      </c>
      <c r="X129">
        <v>356</v>
      </c>
      <c r="Y129">
        <v>25</v>
      </c>
      <c r="Z129" t="s">
        <v>491</v>
      </c>
      <c r="AA129" t="s">
        <v>491</v>
      </c>
      <c r="AB129" t="s">
        <v>491</v>
      </c>
      <c r="AC129" t="s">
        <v>491</v>
      </c>
      <c r="AD129" t="s">
        <v>492</v>
      </c>
      <c r="AE129" t="s">
        <v>492</v>
      </c>
      <c r="AF129">
        <v>2</v>
      </c>
      <c r="AG129">
        <v>4</v>
      </c>
      <c r="AH129">
        <v>0</v>
      </c>
      <c r="AI129">
        <v>0</v>
      </c>
      <c r="AJ129">
        <v>0</v>
      </c>
      <c r="AK129">
        <v>0</v>
      </c>
      <c r="AL129">
        <v>0</v>
      </c>
      <c r="AM129">
        <v>3</v>
      </c>
      <c r="AN129" t="s">
        <v>493</v>
      </c>
      <c r="AO129" t="s">
        <v>494</v>
      </c>
      <c r="AP129">
        <v>10</v>
      </c>
      <c r="AQ129" t="s">
        <v>396</v>
      </c>
      <c r="AR129" t="s">
        <v>672</v>
      </c>
      <c r="AS129">
        <v>4</v>
      </c>
      <c r="AT129" t="s">
        <v>497</v>
      </c>
      <c r="AU129" t="s">
        <v>992</v>
      </c>
      <c r="AV129" t="s">
        <v>498</v>
      </c>
      <c r="AW129" t="s">
        <v>994</v>
      </c>
      <c r="AX129">
        <v>44.792960000000001</v>
      </c>
      <c r="AY129">
        <v>-68.759749999999997</v>
      </c>
      <c r="AZ129">
        <v>5</v>
      </c>
      <c r="BA129" t="s">
        <v>597</v>
      </c>
      <c r="BB129" t="s">
        <v>501</v>
      </c>
      <c r="BC129">
        <v>218072</v>
      </c>
      <c r="BD129">
        <v>4</v>
      </c>
      <c r="BE129" t="s">
        <v>502</v>
      </c>
      <c r="BF129" t="s">
        <v>503</v>
      </c>
      <c r="BG129" t="s">
        <v>504</v>
      </c>
      <c r="BH129" t="s">
        <v>560</v>
      </c>
      <c r="BI129">
        <v>236429</v>
      </c>
      <c r="BJ129">
        <v>0.04</v>
      </c>
    </row>
    <row r="130" spans="1:62" x14ac:dyDescent="0.35">
      <c r="A130" t="s">
        <v>959</v>
      </c>
      <c r="B130" t="s">
        <v>995</v>
      </c>
      <c r="C130" s="292">
        <v>43403</v>
      </c>
      <c r="D130" t="s">
        <v>479</v>
      </c>
      <c r="E130" t="s">
        <v>541</v>
      </c>
      <c r="F130" t="s">
        <v>996</v>
      </c>
      <c r="G130">
        <v>2018</v>
      </c>
      <c r="H130" t="s">
        <v>396</v>
      </c>
      <c r="I130" t="s">
        <v>482</v>
      </c>
      <c r="J130" t="s">
        <v>510</v>
      </c>
      <c r="K130" t="s">
        <v>556</v>
      </c>
      <c r="L130" t="s">
        <v>485</v>
      </c>
      <c r="M130" t="s">
        <v>486</v>
      </c>
      <c r="O130" t="s">
        <v>488</v>
      </c>
      <c r="Q130" t="s">
        <v>985</v>
      </c>
      <c r="T130" t="s">
        <v>961</v>
      </c>
      <c r="U130" t="s">
        <v>962</v>
      </c>
      <c r="V130">
        <v>0.11</v>
      </c>
      <c r="W130">
        <v>5</v>
      </c>
      <c r="X130">
        <v>356</v>
      </c>
      <c r="Y130">
        <v>25</v>
      </c>
      <c r="Z130" t="s">
        <v>491</v>
      </c>
      <c r="AA130" t="s">
        <v>491</v>
      </c>
      <c r="AB130" t="s">
        <v>491</v>
      </c>
      <c r="AC130" t="s">
        <v>491</v>
      </c>
      <c r="AD130" t="s">
        <v>492</v>
      </c>
      <c r="AE130" t="s">
        <v>492</v>
      </c>
      <c r="AF130">
        <v>2</v>
      </c>
      <c r="AG130">
        <v>2</v>
      </c>
      <c r="AH130">
        <v>0</v>
      </c>
      <c r="AI130">
        <v>0</v>
      </c>
      <c r="AJ130">
        <v>0</v>
      </c>
      <c r="AK130">
        <v>0</v>
      </c>
      <c r="AL130">
        <v>0</v>
      </c>
      <c r="AM130">
        <v>2</v>
      </c>
      <c r="AN130" t="s">
        <v>493</v>
      </c>
      <c r="AO130" t="s">
        <v>494</v>
      </c>
      <c r="AP130">
        <v>17</v>
      </c>
      <c r="AQ130" t="s">
        <v>396</v>
      </c>
      <c r="AR130" t="s">
        <v>672</v>
      </c>
      <c r="AS130">
        <v>3</v>
      </c>
      <c r="AT130" t="s">
        <v>497</v>
      </c>
      <c r="AU130" t="s">
        <v>995</v>
      </c>
      <c r="AV130" t="s">
        <v>498</v>
      </c>
      <c r="AW130" t="s">
        <v>997</v>
      </c>
      <c r="AX130">
        <v>44.792988880000003</v>
      </c>
      <c r="AY130">
        <v>-68.759765669999993</v>
      </c>
      <c r="AZ130">
        <v>10</v>
      </c>
      <c r="BA130" t="s">
        <v>548</v>
      </c>
      <c r="BB130" t="s">
        <v>501</v>
      </c>
      <c r="BC130">
        <v>218072</v>
      </c>
      <c r="BD130">
        <v>4</v>
      </c>
      <c r="BE130" t="s">
        <v>502</v>
      </c>
      <c r="BF130" t="s">
        <v>503</v>
      </c>
      <c r="BG130" t="s">
        <v>504</v>
      </c>
      <c r="BH130" t="s">
        <v>560</v>
      </c>
      <c r="BI130">
        <v>305097</v>
      </c>
      <c r="BJ130">
        <v>0.04</v>
      </c>
    </row>
    <row r="131" spans="1:62" x14ac:dyDescent="0.35">
      <c r="A131" t="s">
        <v>959</v>
      </c>
      <c r="B131" t="s">
        <v>998</v>
      </c>
      <c r="C131" s="292">
        <v>45088</v>
      </c>
      <c r="D131" t="s">
        <v>479</v>
      </c>
      <c r="E131" t="s">
        <v>594</v>
      </c>
      <c r="F131" t="s">
        <v>999</v>
      </c>
      <c r="G131">
        <v>2023</v>
      </c>
      <c r="H131" t="s">
        <v>396</v>
      </c>
      <c r="I131" t="s">
        <v>482</v>
      </c>
      <c r="J131" t="s">
        <v>483</v>
      </c>
      <c r="K131" t="s">
        <v>484</v>
      </c>
      <c r="L131" t="s">
        <v>485</v>
      </c>
      <c r="M131" t="s">
        <v>486</v>
      </c>
      <c r="N131" t="s">
        <v>487</v>
      </c>
      <c r="Q131" t="s">
        <v>488</v>
      </c>
      <c r="S131">
        <v>38315</v>
      </c>
      <c r="T131" t="s">
        <v>961</v>
      </c>
      <c r="U131" t="s">
        <v>962</v>
      </c>
      <c r="V131">
        <v>7.0000000000000007E-2</v>
      </c>
      <c r="W131">
        <v>5</v>
      </c>
      <c r="X131">
        <v>991</v>
      </c>
      <c r="Z131" t="s">
        <v>491</v>
      </c>
      <c r="AA131" t="s">
        <v>491</v>
      </c>
      <c r="AC131" t="s">
        <v>491</v>
      </c>
      <c r="AD131" t="s">
        <v>492</v>
      </c>
      <c r="AE131" t="s">
        <v>492</v>
      </c>
      <c r="AF131">
        <v>2</v>
      </c>
      <c r="AG131">
        <v>1</v>
      </c>
      <c r="AH131">
        <v>0</v>
      </c>
      <c r="AI131">
        <v>0</v>
      </c>
      <c r="AJ131">
        <v>0</v>
      </c>
      <c r="AK131">
        <v>0</v>
      </c>
      <c r="AL131">
        <v>0</v>
      </c>
      <c r="AM131">
        <v>1</v>
      </c>
      <c r="AN131" t="s">
        <v>493</v>
      </c>
      <c r="AO131" t="s">
        <v>494</v>
      </c>
      <c r="AP131">
        <v>11</v>
      </c>
      <c r="AQ131" t="s">
        <v>795</v>
      </c>
      <c r="AR131" t="s">
        <v>496</v>
      </c>
      <c r="AS131">
        <v>1</v>
      </c>
      <c r="AT131" t="s">
        <v>497</v>
      </c>
      <c r="AU131" t="s">
        <v>998</v>
      </c>
      <c r="AV131" t="s">
        <v>498</v>
      </c>
      <c r="AW131" t="s">
        <v>1000</v>
      </c>
      <c r="AX131">
        <v>44.79245976</v>
      </c>
      <c r="AY131">
        <v>-68.75940756</v>
      </c>
      <c r="AZ131">
        <v>6</v>
      </c>
      <c r="BA131" t="s">
        <v>544</v>
      </c>
      <c r="BB131" t="s">
        <v>501</v>
      </c>
      <c r="BC131">
        <v>218072</v>
      </c>
      <c r="BD131">
        <v>4</v>
      </c>
      <c r="BE131" t="s">
        <v>502</v>
      </c>
      <c r="BF131" t="s">
        <v>503</v>
      </c>
      <c r="BG131" t="s">
        <v>504</v>
      </c>
      <c r="BH131" t="s">
        <v>505</v>
      </c>
      <c r="BI131">
        <v>305792</v>
      </c>
      <c r="BJ131">
        <v>0</v>
      </c>
    </row>
    <row r="132" spans="1:62" x14ac:dyDescent="0.35">
      <c r="A132" t="s">
        <v>1001</v>
      </c>
      <c r="B132" t="s">
        <v>1009</v>
      </c>
      <c r="C132" s="292">
        <v>43119</v>
      </c>
      <c r="D132" t="s">
        <v>479</v>
      </c>
      <c r="E132" t="s">
        <v>549</v>
      </c>
      <c r="F132" t="s">
        <v>1010</v>
      </c>
      <c r="G132">
        <v>2018</v>
      </c>
      <c r="H132" t="s">
        <v>396</v>
      </c>
      <c r="I132" t="s">
        <v>482</v>
      </c>
      <c r="J132" t="s">
        <v>510</v>
      </c>
      <c r="K132" t="s">
        <v>484</v>
      </c>
      <c r="L132" t="s">
        <v>485</v>
      </c>
      <c r="M132" t="s">
        <v>486</v>
      </c>
      <c r="N132" t="s">
        <v>487</v>
      </c>
      <c r="O132" t="s">
        <v>511</v>
      </c>
      <c r="Q132" t="s">
        <v>488</v>
      </c>
      <c r="S132">
        <v>39685</v>
      </c>
      <c r="T132" t="s">
        <v>1003</v>
      </c>
      <c r="U132" t="s">
        <v>1004</v>
      </c>
      <c r="V132">
        <v>39.08</v>
      </c>
      <c r="W132">
        <v>1</v>
      </c>
      <c r="X132">
        <v>23788.5</v>
      </c>
      <c r="Z132" t="s">
        <v>491</v>
      </c>
      <c r="AA132" t="s">
        <v>491</v>
      </c>
      <c r="AB132" t="s">
        <v>491</v>
      </c>
      <c r="AC132" t="s">
        <v>491</v>
      </c>
      <c r="AD132" t="s">
        <v>492</v>
      </c>
      <c r="AE132" t="s">
        <v>492</v>
      </c>
      <c r="AF132">
        <v>2</v>
      </c>
      <c r="AG132">
        <v>2</v>
      </c>
      <c r="AH132">
        <v>1</v>
      </c>
      <c r="AI132">
        <v>0</v>
      </c>
      <c r="AJ132">
        <v>0</v>
      </c>
      <c r="AK132">
        <v>0</v>
      </c>
      <c r="AL132">
        <v>1</v>
      </c>
      <c r="AM132">
        <v>1</v>
      </c>
      <c r="AN132" t="s">
        <v>519</v>
      </c>
      <c r="AO132" t="s">
        <v>494</v>
      </c>
      <c r="AP132">
        <v>13</v>
      </c>
      <c r="AQ132" t="s">
        <v>495</v>
      </c>
      <c r="AR132" t="s">
        <v>496</v>
      </c>
      <c r="AS132">
        <v>6</v>
      </c>
      <c r="AT132" t="s">
        <v>497</v>
      </c>
      <c r="AU132" t="s">
        <v>1011</v>
      </c>
      <c r="AV132" t="s">
        <v>498</v>
      </c>
      <c r="AW132" t="s">
        <v>1012</v>
      </c>
      <c r="AX132">
        <v>44.794701119999999</v>
      </c>
      <c r="AY132">
        <v>-68.766163859999992</v>
      </c>
      <c r="AZ132">
        <v>1</v>
      </c>
      <c r="BA132" t="s">
        <v>514</v>
      </c>
      <c r="BB132" t="s">
        <v>501</v>
      </c>
      <c r="BC132">
        <v>3111001</v>
      </c>
      <c r="BD132">
        <v>4</v>
      </c>
      <c r="BE132" t="s">
        <v>502</v>
      </c>
      <c r="BF132" t="s">
        <v>503</v>
      </c>
      <c r="BG132" t="s">
        <v>504</v>
      </c>
      <c r="BH132" t="s">
        <v>505</v>
      </c>
      <c r="BI132">
        <v>7774</v>
      </c>
      <c r="BJ132">
        <v>0</v>
      </c>
    </row>
    <row r="133" spans="1:62" x14ac:dyDescent="0.35">
      <c r="A133" t="s">
        <v>1001</v>
      </c>
      <c r="B133" t="s">
        <v>1014</v>
      </c>
      <c r="C133" s="292">
        <v>43195</v>
      </c>
      <c r="D133" t="s">
        <v>479</v>
      </c>
      <c r="E133" t="s">
        <v>516</v>
      </c>
      <c r="F133" t="s">
        <v>1015</v>
      </c>
      <c r="G133">
        <v>2018</v>
      </c>
      <c r="H133" t="s">
        <v>724</v>
      </c>
      <c r="I133" t="s">
        <v>482</v>
      </c>
      <c r="J133" t="s">
        <v>510</v>
      </c>
      <c r="K133" t="s">
        <v>484</v>
      </c>
      <c r="L133" t="s">
        <v>526</v>
      </c>
      <c r="M133" t="s">
        <v>665</v>
      </c>
      <c r="N133" t="s">
        <v>487</v>
      </c>
      <c r="O133" t="s">
        <v>488</v>
      </c>
      <c r="Q133" t="s">
        <v>511</v>
      </c>
      <c r="S133">
        <v>39685</v>
      </c>
      <c r="T133" t="s">
        <v>1003</v>
      </c>
      <c r="U133" t="s">
        <v>1004</v>
      </c>
      <c r="V133">
        <v>39.08</v>
      </c>
      <c r="W133">
        <v>1</v>
      </c>
      <c r="X133">
        <v>23788.5</v>
      </c>
      <c r="Z133" t="s">
        <v>491</v>
      </c>
      <c r="AA133" t="s">
        <v>491</v>
      </c>
      <c r="AB133" t="s">
        <v>491</v>
      </c>
      <c r="AC133" t="s">
        <v>491</v>
      </c>
      <c r="AD133" t="s">
        <v>492</v>
      </c>
      <c r="AE133" t="s">
        <v>492</v>
      </c>
      <c r="AF133">
        <v>2</v>
      </c>
      <c r="AG133">
        <v>4</v>
      </c>
      <c r="AH133">
        <v>1</v>
      </c>
      <c r="AI133">
        <v>0</v>
      </c>
      <c r="AJ133">
        <v>0</v>
      </c>
      <c r="AK133">
        <v>0</v>
      </c>
      <c r="AL133">
        <v>1</v>
      </c>
      <c r="AM133">
        <v>3</v>
      </c>
      <c r="AN133" t="s">
        <v>519</v>
      </c>
      <c r="AO133" t="s">
        <v>494</v>
      </c>
      <c r="AP133">
        <v>15</v>
      </c>
      <c r="AQ133" t="s">
        <v>495</v>
      </c>
      <c r="AR133" t="s">
        <v>496</v>
      </c>
      <c r="AS133">
        <v>5</v>
      </c>
      <c r="AT133" t="s">
        <v>497</v>
      </c>
      <c r="AU133" t="s">
        <v>1014</v>
      </c>
      <c r="AV133" t="s">
        <v>498</v>
      </c>
      <c r="AW133" t="s">
        <v>1016</v>
      </c>
      <c r="AX133">
        <v>44.794701119999999</v>
      </c>
      <c r="AY133">
        <v>-68.766163859999992</v>
      </c>
      <c r="AZ133">
        <v>4</v>
      </c>
      <c r="BA133" t="s">
        <v>606</v>
      </c>
      <c r="BB133" t="s">
        <v>501</v>
      </c>
      <c r="BC133">
        <v>3111001</v>
      </c>
      <c r="BD133">
        <v>4</v>
      </c>
      <c r="BE133" t="s">
        <v>502</v>
      </c>
      <c r="BF133" t="s">
        <v>503</v>
      </c>
      <c r="BG133" t="s">
        <v>504</v>
      </c>
      <c r="BH133" t="s">
        <v>505</v>
      </c>
      <c r="BI133">
        <v>10997</v>
      </c>
      <c r="BJ133">
        <v>0</v>
      </c>
    </row>
    <row r="134" spans="1:62" x14ac:dyDescent="0.35">
      <c r="A134" t="s">
        <v>1001</v>
      </c>
      <c r="B134" t="s">
        <v>1017</v>
      </c>
      <c r="C134" s="292">
        <v>45267</v>
      </c>
      <c r="D134" t="s">
        <v>479</v>
      </c>
      <c r="E134" t="s">
        <v>801</v>
      </c>
      <c r="F134" t="s">
        <v>1018</v>
      </c>
      <c r="G134">
        <v>2023</v>
      </c>
      <c r="H134" t="s">
        <v>396</v>
      </c>
      <c r="I134" t="s">
        <v>482</v>
      </c>
      <c r="J134" t="s">
        <v>483</v>
      </c>
      <c r="K134" t="s">
        <v>576</v>
      </c>
      <c r="L134" t="s">
        <v>485</v>
      </c>
      <c r="M134" t="s">
        <v>486</v>
      </c>
      <c r="N134" t="s">
        <v>487</v>
      </c>
      <c r="O134" t="s">
        <v>553</v>
      </c>
      <c r="Q134" t="s">
        <v>488</v>
      </c>
      <c r="T134" t="s">
        <v>1003</v>
      </c>
      <c r="U134" t="s">
        <v>1004</v>
      </c>
      <c r="V134">
        <v>39.950000000000003</v>
      </c>
      <c r="W134">
        <v>1</v>
      </c>
      <c r="X134">
        <v>9197</v>
      </c>
      <c r="Y134">
        <v>25</v>
      </c>
      <c r="Z134" t="s">
        <v>491</v>
      </c>
      <c r="AA134" t="s">
        <v>491</v>
      </c>
      <c r="AC134" t="s">
        <v>491</v>
      </c>
      <c r="AD134" t="s">
        <v>492</v>
      </c>
      <c r="AE134" t="s">
        <v>492</v>
      </c>
      <c r="AF134">
        <v>2</v>
      </c>
      <c r="AG134">
        <v>2</v>
      </c>
      <c r="AH134">
        <v>1</v>
      </c>
      <c r="AI134">
        <v>0</v>
      </c>
      <c r="AJ134">
        <v>0</v>
      </c>
      <c r="AK134">
        <v>0</v>
      </c>
      <c r="AL134">
        <v>1</v>
      </c>
      <c r="AM134">
        <v>1</v>
      </c>
      <c r="AN134" t="s">
        <v>519</v>
      </c>
      <c r="AO134" t="s">
        <v>494</v>
      </c>
      <c r="AP134">
        <v>13</v>
      </c>
      <c r="AQ134" t="s">
        <v>827</v>
      </c>
      <c r="AR134" t="s">
        <v>558</v>
      </c>
      <c r="AS134">
        <v>5</v>
      </c>
      <c r="AT134" t="s">
        <v>497</v>
      </c>
      <c r="AU134" t="s">
        <v>1017</v>
      </c>
      <c r="AV134" t="s">
        <v>498</v>
      </c>
      <c r="AW134" t="s">
        <v>1019</v>
      </c>
      <c r="AX134">
        <v>44.78565802</v>
      </c>
      <c r="AY134">
        <v>-68.754073270000006</v>
      </c>
      <c r="AZ134">
        <v>12</v>
      </c>
      <c r="BA134" t="s">
        <v>534</v>
      </c>
      <c r="BB134" t="s">
        <v>501</v>
      </c>
      <c r="BC134">
        <v>3111058</v>
      </c>
      <c r="BD134">
        <v>4</v>
      </c>
      <c r="BE134" t="s">
        <v>502</v>
      </c>
      <c r="BF134" t="s">
        <v>503</v>
      </c>
      <c r="BG134" t="s">
        <v>504</v>
      </c>
      <c r="BH134" t="s">
        <v>560</v>
      </c>
      <c r="BI134">
        <v>11690</v>
      </c>
      <c r="BJ134">
        <v>0.02</v>
      </c>
    </row>
    <row r="135" spans="1:62" x14ac:dyDescent="0.35">
      <c r="A135" t="s">
        <v>1001</v>
      </c>
      <c r="B135" t="s">
        <v>1020</v>
      </c>
      <c r="C135" s="292">
        <v>43253</v>
      </c>
      <c r="D135" t="s">
        <v>479</v>
      </c>
      <c r="E135" t="s">
        <v>552</v>
      </c>
      <c r="F135" t="s">
        <v>1021</v>
      </c>
      <c r="G135">
        <v>2018</v>
      </c>
      <c r="H135" t="s">
        <v>396</v>
      </c>
      <c r="I135" t="s">
        <v>482</v>
      </c>
      <c r="J135" t="s">
        <v>510</v>
      </c>
      <c r="K135" t="s">
        <v>484</v>
      </c>
      <c r="L135" t="s">
        <v>485</v>
      </c>
      <c r="M135" t="s">
        <v>486</v>
      </c>
      <c r="N135" t="s">
        <v>487</v>
      </c>
      <c r="O135" t="s">
        <v>511</v>
      </c>
      <c r="P135" t="s">
        <v>488</v>
      </c>
      <c r="Q135" t="s">
        <v>488</v>
      </c>
      <c r="S135">
        <v>39685</v>
      </c>
      <c r="T135" t="s">
        <v>1003</v>
      </c>
      <c r="U135" t="s">
        <v>1004</v>
      </c>
      <c r="V135">
        <v>39.08</v>
      </c>
      <c r="W135">
        <v>1</v>
      </c>
      <c r="X135">
        <v>23788.5</v>
      </c>
      <c r="Z135" t="s">
        <v>491</v>
      </c>
      <c r="AA135" t="s">
        <v>491</v>
      </c>
      <c r="AB135" t="s">
        <v>491</v>
      </c>
      <c r="AC135" t="s">
        <v>491</v>
      </c>
      <c r="AD135" t="s">
        <v>492</v>
      </c>
      <c r="AE135" t="s">
        <v>492</v>
      </c>
      <c r="AF135">
        <v>2</v>
      </c>
      <c r="AG135">
        <v>5</v>
      </c>
      <c r="AH135">
        <v>0</v>
      </c>
      <c r="AI135">
        <v>0</v>
      </c>
      <c r="AJ135">
        <v>0</v>
      </c>
      <c r="AK135">
        <v>0</v>
      </c>
      <c r="AL135">
        <v>0</v>
      </c>
      <c r="AM135">
        <v>5</v>
      </c>
      <c r="AN135" t="s">
        <v>493</v>
      </c>
      <c r="AO135" t="s">
        <v>494</v>
      </c>
      <c r="AP135">
        <v>16</v>
      </c>
      <c r="AQ135" t="s">
        <v>495</v>
      </c>
      <c r="AR135" t="s">
        <v>496</v>
      </c>
      <c r="AS135">
        <v>7</v>
      </c>
      <c r="AT135" t="s">
        <v>497</v>
      </c>
      <c r="AU135" t="s">
        <v>1020</v>
      </c>
      <c r="AV135" t="s">
        <v>498</v>
      </c>
      <c r="AW135" t="s">
        <v>1022</v>
      </c>
      <c r="AX135">
        <v>44.794701119999999</v>
      </c>
      <c r="AY135">
        <v>-68.766163859999992</v>
      </c>
      <c r="AZ135">
        <v>6</v>
      </c>
      <c r="BA135" t="s">
        <v>544</v>
      </c>
      <c r="BB135" t="s">
        <v>501</v>
      </c>
      <c r="BC135">
        <v>3111001</v>
      </c>
      <c r="BD135">
        <v>4</v>
      </c>
      <c r="BE135" t="s">
        <v>502</v>
      </c>
      <c r="BF135" t="s">
        <v>503</v>
      </c>
      <c r="BG135" t="s">
        <v>504</v>
      </c>
      <c r="BH135" t="s">
        <v>505</v>
      </c>
      <c r="BI135">
        <v>18716</v>
      </c>
      <c r="BJ135">
        <v>0</v>
      </c>
    </row>
    <row r="136" spans="1:62" x14ac:dyDescent="0.35">
      <c r="A136" t="s">
        <v>1001</v>
      </c>
      <c r="B136" t="s">
        <v>1023</v>
      </c>
      <c r="C136" s="292">
        <v>43253</v>
      </c>
      <c r="D136" t="s">
        <v>479</v>
      </c>
      <c r="E136" t="s">
        <v>552</v>
      </c>
      <c r="F136" t="s">
        <v>1024</v>
      </c>
      <c r="G136">
        <v>2018</v>
      </c>
      <c r="H136" t="s">
        <v>396</v>
      </c>
      <c r="I136" t="s">
        <v>482</v>
      </c>
      <c r="J136" t="s">
        <v>510</v>
      </c>
      <c r="K136" t="s">
        <v>484</v>
      </c>
      <c r="L136" t="s">
        <v>485</v>
      </c>
      <c r="M136" t="s">
        <v>486</v>
      </c>
      <c r="N136" t="s">
        <v>487</v>
      </c>
      <c r="O136" t="s">
        <v>511</v>
      </c>
      <c r="Q136" t="s">
        <v>488</v>
      </c>
      <c r="S136">
        <v>39685</v>
      </c>
      <c r="T136" t="s">
        <v>1003</v>
      </c>
      <c r="U136" t="s">
        <v>1004</v>
      </c>
      <c r="V136">
        <v>39.08</v>
      </c>
      <c r="W136">
        <v>1</v>
      </c>
      <c r="X136">
        <v>23788.5</v>
      </c>
      <c r="Z136" t="s">
        <v>491</v>
      </c>
      <c r="AA136" t="s">
        <v>491</v>
      </c>
      <c r="AB136" t="s">
        <v>491</v>
      </c>
      <c r="AC136" t="s">
        <v>491</v>
      </c>
      <c r="AD136" t="s">
        <v>492</v>
      </c>
      <c r="AE136" t="s">
        <v>492</v>
      </c>
      <c r="AF136">
        <v>3</v>
      </c>
      <c r="AG136">
        <v>6</v>
      </c>
      <c r="AH136">
        <v>0</v>
      </c>
      <c r="AI136">
        <v>0</v>
      </c>
      <c r="AJ136">
        <v>0</v>
      </c>
      <c r="AK136">
        <v>0</v>
      </c>
      <c r="AL136">
        <v>0</v>
      </c>
      <c r="AM136">
        <v>6</v>
      </c>
      <c r="AN136" t="s">
        <v>493</v>
      </c>
      <c r="AO136" t="s">
        <v>494</v>
      </c>
      <c r="AP136">
        <v>12</v>
      </c>
      <c r="AQ136" t="s">
        <v>495</v>
      </c>
      <c r="AR136" t="s">
        <v>496</v>
      </c>
      <c r="AS136">
        <v>7</v>
      </c>
      <c r="AT136" t="s">
        <v>497</v>
      </c>
      <c r="AU136" t="s">
        <v>1023</v>
      </c>
      <c r="AV136" t="s">
        <v>498</v>
      </c>
      <c r="AW136" t="s">
        <v>1025</v>
      </c>
      <c r="AX136">
        <v>44.794699999999999</v>
      </c>
      <c r="AY136">
        <v>-68.766159999999999</v>
      </c>
      <c r="AZ136">
        <v>6</v>
      </c>
      <c r="BA136" t="s">
        <v>544</v>
      </c>
      <c r="BB136" t="s">
        <v>501</v>
      </c>
      <c r="BC136">
        <v>3111001</v>
      </c>
      <c r="BD136">
        <v>4</v>
      </c>
      <c r="BE136" t="s">
        <v>502</v>
      </c>
      <c r="BF136" t="s">
        <v>503</v>
      </c>
      <c r="BG136" t="s">
        <v>504</v>
      </c>
      <c r="BH136" t="s">
        <v>505</v>
      </c>
      <c r="BI136">
        <v>18765</v>
      </c>
      <c r="BJ136">
        <v>0</v>
      </c>
    </row>
    <row r="137" spans="1:62" x14ac:dyDescent="0.35">
      <c r="A137" t="s">
        <v>1001</v>
      </c>
      <c r="B137" t="s">
        <v>1026</v>
      </c>
      <c r="C137" s="292">
        <v>43286</v>
      </c>
      <c r="D137" t="s">
        <v>479</v>
      </c>
      <c r="E137" t="s">
        <v>516</v>
      </c>
      <c r="F137" t="s">
        <v>1027</v>
      </c>
      <c r="G137">
        <v>2018</v>
      </c>
      <c r="H137" t="s">
        <v>396</v>
      </c>
      <c r="I137" t="s">
        <v>482</v>
      </c>
      <c r="J137" t="s">
        <v>510</v>
      </c>
      <c r="K137" t="s">
        <v>556</v>
      </c>
      <c r="L137" t="s">
        <v>485</v>
      </c>
      <c r="M137" t="s">
        <v>486</v>
      </c>
      <c r="O137" t="s">
        <v>511</v>
      </c>
      <c r="Q137" t="s">
        <v>488</v>
      </c>
      <c r="T137" t="s">
        <v>1003</v>
      </c>
      <c r="U137" t="s">
        <v>1004</v>
      </c>
      <c r="V137">
        <v>39.32</v>
      </c>
      <c r="W137">
        <v>1</v>
      </c>
      <c r="X137">
        <v>8737</v>
      </c>
      <c r="Y137">
        <v>25</v>
      </c>
      <c r="Z137" t="s">
        <v>491</v>
      </c>
      <c r="AA137" t="s">
        <v>491</v>
      </c>
      <c r="AB137" t="s">
        <v>491</v>
      </c>
      <c r="AC137" t="s">
        <v>491</v>
      </c>
      <c r="AD137" t="s">
        <v>492</v>
      </c>
      <c r="AE137" t="s">
        <v>492</v>
      </c>
      <c r="AF137">
        <v>2</v>
      </c>
      <c r="AG137">
        <v>3</v>
      </c>
      <c r="AH137">
        <v>0</v>
      </c>
      <c r="AI137">
        <v>0</v>
      </c>
      <c r="AJ137">
        <v>0</v>
      </c>
      <c r="AK137">
        <v>0</v>
      </c>
      <c r="AL137">
        <v>0</v>
      </c>
      <c r="AM137">
        <v>3</v>
      </c>
      <c r="AN137" t="s">
        <v>493</v>
      </c>
      <c r="AO137" t="s">
        <v>494</v>
      </c>
      <c r="AP137">
        <v>8</v>
      </c>
      <c r="AQ137" t="s">
        <v>396</v>
      </c>
      <c r="AR137" t="s">
        <v>558</v>
      </c>
      <c r="AS137">
        <v>5</v>
      </c>
      <c r="AT137" t="s">
        <v>497</v>
      </c>
      <c r="AU137" t="s">
        <v>1026</v>
      </c>
      <c r="AV137" t="s">
        <v>498</v>
      </c>
      <c r="AW137" t="s">
        <v>1028</v>
      </c>
      <c r="AX137">
        <v>44.792553099999999</v>
      </c>
      <c r="AY137">
        <v>-68.762458609999996</v>
      </c>
      <c r="AZ137">
        <v>7</v>
      </c>
      <c r="BA137" t="s">
        <v>500</v>
      </c>
      <c r="BB137" t="s">
        <v>501</v>
      </c>
      <c r="BC137">
        <v>3944111</v>
      </c>
      <c r="BD137">
        <v>4</v>
      </c>
      <c r="BE137" t="s">
        <v>502</v>
      </c>
      <c r="BF137" t="s">
        <v>503</v>
      </c>
      <c r="BG137" t="s">
        <v>504</v>
      </c>
      <c r="BH137" t="s">
        <v>560</v>
      </c>
      <c r="BI137">
        <v>19997</v>
      </c>
      <c r="BJ137">
        <v>0.13</v>
      </c>
    </row>
    <row r="138" spans="1:62" x14ac:dyDescent="0.35">
      <c r="A138" t="s">
        <v>1001</v>
      </c>
      <c r="B138" t="s">
        <v>1029</v>
      </c>
      <c r="C138" s="292">
        <v>44436</v>
      </c>
      <c r="D138" t="s">
        <v>479</v>
      </c>
      <c r="E138" t="s">
        <v>552</v>
      </c>
      <c r="F138" t="s">
        <v>1030</v>
      </c>
      <c r="G138">
        <v>2021</v>
      </c>
      <c r="H138" t="s">
        <v>396</v>
      </c>
      <c r="I138" t="s">
        <v>482</v>
      </c>
      <c r="J138" t="s">
        <v>510</v>
      </c>
      <c r="K138" t="s">
        <v>484</v>
      </c>
      <c r="L138" t="s">
        <v>485</v>
      </c>
      <c r="M138" t="s">
        <v>486</v>
      </c>
      <c r="N138" t="s">
        <v>487</v>
      </c>
      <c r="O138" t="s">
        <v>511</v>
      </c>
      <c r="Q138" t="s">
        <v>488</v>
      </c>
      <c r="S138">
        <v>39685</v>
      </c>
      <c r="T138" t="s">
        <v>1003</v>
      </c>
      <c r="U138" t="s">
        <v>1004</v>
      </c>
      <c r="V138">
        <v>39.08</v>
      </c>
      <c r="W138">
        <v>1</v>
      </c>
      <c r="X138">
        <v>23788.5</v>
      </c>
      <c r="Z138" t="s">
        <v>491</v>
      </c>
      <c r="AA138" t="s">
        <v>491</v>
      </c>
      <c r="AB138" t="s">
        <v>491</v>
      </c>
      <c r="AC138" t="s">
        <v>491</v>
      </c>
      <c r="AD138" t="s">
        <v>492</v>
      </c>
      <c r="AE138" t="s">
        <v>492</v>
      </c>
      <c r="AF138">
        <v>2</v>
      </c>
      <c r="AG138">
        <v>3</v>
      </c>
      <c r="AH138">
        <v>0</v>
      </c>
      <c r="AI138">
        <v>0</v>
      </c>
      <c r="AJ138">
        <v>0</v>
      </c>
      <c r="AK138">
        <v>0</v>
      </c>
      <c r="AL138">
        <v>0</v>
      </c>
      <c r="AM138">
        <v>3</v>
      </c>
      <c r="AN138" t="s">
        <v>493</v>
      </c>
      <c r="AO138" t="s">
        <v>494</v>
      </c>
      <c r="AP138">
        <v>12</v>
      </c>
      <c r="AQ138" t="s">
        <v>495</v>
      </c>
      <c r="AR138" t="s">
        <v>496</v>
      </c>
      <c r="AS138">
        <v>7</v>
      </c>
      <c r="AT138" t="s">
        <v>497</v>
      </c>
      <c r="AU138" t="s">
        <v>1029</v>
      </c>
      <c r="AV138" t="s">
        <v>498</v>
      </c>
      <c r="AW138" t="s">
        <v>1031</v>
      </c>
      <c r="AX138">
        <v>44.794701119999999</v>
      </c>
      <c r="AY138">
        <v>-68.766163859999992</v>
      </c>
      <c r="AZ138">
        <v>8</v>
      </c>
      <c r="BA138" t="s">
        <v>667</v>
      </c>
      <c r="BB138" t="s">
        <v>501</v>
      </c>
      <c r="BC138">
        <v>3111001</v>
      </c>
      <c r="BD138">
        <v>4</v>
      </c>
      <c r="BE138" t="s">
        <v>502</v>
      </c>
      <c r="BF138" t="s">
        <v>503</v>
      </c>
      <c r="BG138" t="s">
        <v>504</v>
      </c>
      <c r="BH138" t="s">
        <v>505</v>
      </c>
      <c r="BI138">
        <v>20065</v>
      </c>
      <c r="BJ138">
        <v>0</v>
      </c>
    </row>
    <row r="139" spans="1:62" x14ac:dyDescent="0.35">
      <c r="A139" t="s">
        <v>1001</v>
      </c>
      <c r="B139" t="s">
        <v>1032</v>
      </c>
      <c r="C139" s="292">
        <v>43770</v>
      </c>
      <c r="D139" t="s">
        <v>479</v>
      </c>
      <c r="E139" t="s">
        <v>549</v>
      </c>
      <c r="F139" t="s">
        <v>1033</v>
      </c>
      <c r="G139">
        <v>2019</v>
      </c>
      <c r="H139" t="s">
        <v>396</v>
      </c>
      <c r="I139" t="s">
        <v>532</v>
      </c>
      <c r="J139" t="s">
        <v>510</v>
      </c>
      <c r="K139" t="s">
        <v>484</v>
      </c>
      <c r="L139" t="s">
        <v>485</v>
      </c>
      <c r="M139" t="s">
        <v>486</v>
      </c>
      <c r="N139" t="s">
        <v>487</v>
      </c>
      <c r="O139" t="s">
        <v>511</v>
      </c>
      <c r="Q139" t="s">
        <v>488</v>
      </c>
      <c r="S139">
        <v>39685</v>
      </c>
      <c r="T139" t="s">
        <v>1003</v>
      </c>
      <c r="U139" t="s">
        <v>1004</v>
      </c>
      <c r="V139">
        <v>39.08</v>
      </c>
      <c r="W139">
        <v>1</v>
      </c>
      <c r="X139">
        <v>23788.5</v>
      </c>
      <c r="Z139" t="s">
        <v>491</v>
      </c>
      <c r="AA139" t="s">
        <v>491</v>
      </c>
      <c r="AB139" t="s">
        <v>491</v>
      </c>
      <c r="AC139" t="s">
        <v>491</v>
      </c>
      <c r="AD139" t="s">
        <v>492</v>
      </c>
      <c r="AE139" t="s">
        <v>492</v>
      </c>
      <c r="AF139">
        <v>2</v>
      </c>
      <c r="AG139">
        <v>5</v>
      </c>
      <c r="AH139">
        <v>1</v>
      </c>
      <c r="AI139">
        <v>0</v>
      </c>
      <c r="AJ139">
        <v>0</v>
      </c>
      <c r="AK139">
        <v>0</v>
      </c>
      <c r="AL139">
        <v>1</v>
      </c>
      <c r="AM139">
        <v>4</v>
      </c>
      <c r="AN139" t="s">
        <v>519</v>
      </c>
      <c r="AO139" t="s">
        <v>494</v>
      </c>
      <c r="AP139">
        <v>18</v>
      </c>
      <c r="AQ139" t="s">
        <v>495</v>
      </c>
      <c r="AR139" t="s">
        <v>496</v>
      </c>
      <c r="AS139">
        <v>6</v>
      </c>
      <c r="AT139" t="s">
        <v>497</v>
      </c>
      <c r="AU139" t="s">
        <v>1032</v>
      </c>
      <c r="AV139" t="s">
        <v>498</v>
      </c>
      <c r="AW139" t="s">
        <v>1034</v>
      </c>
      <c r="AX139">
        <v>44.794701119999999</v>
      </c>
      <c r="AY139">
        <v>-68.766163859999992</v>
      </c>
      <c r="AZ139">
        <v>11</v>
      </c>
      <c r="BA139" t="s">
        <v>551</v>
      </c>
      <c r="BB139" t="s">
        <v>501</v>
      </c>
      <c r="BC139">
        <v>3111001</v>
      </c>
      <c r="BD139">
        <v>4</v>
      </c>
      <c r="BE139" t="s">
        <v>502</v>
      </c>
      <c r="BF139" t="s">
        <v>503</v>
      </c>
      <c r="BG139" t="s">
        <v>504</v>
      </c>
      <c r="BH139" t="s">
        <v>505</v>
      </c>
      <c r="BI139">
        <v>20568</v>
      </c>
      <c r="BJ139">
        <v>0</v>
      </c>
    </row>
    <row r="140" spans="1:62" x14ac:dyDescent="0.35">
      <c r="A140" t="s">
        <v>1001</v>
      </c>
      <c r="B140" t="s">
        <v>1035</v>
      </c>
      <c r="C140" s="292">
        <v>45260</v>
      </c>
      <c r="D140" t="s">
        <v>479</v>
      </c>
      <c r="E140" t="s">
        <v>801</v>
      </c>
      <c r="F140" t="s">
        <v>1036</v>
      </c>
      <c r="G140">
        <v>2023</v>
      </c>
      <c r="H140" t="s">
        <v>396</v>
      </c>
      <c r="I140" t="s">
        <v>509</v>
      </c>
      <c r="J140" t="s">
        <v>510</v>
      </c>
      <c r="K140" t="s">
        <v>484</v>
      </c>
      <c r="L140" t="s">
        <v>485</v>
      </c>
      <c r="M140" t="s">
        <v>486</v>
      </c>
      <c r="N140" t="s">
        <v>487</v>
      </c>
      <c r="O140" t="s">
        <v>586</v>
      </c>
      <c r="Q140" t="s">
        <v>488</v>
      </c>
      <c r="S140">
        <v>39685</v>
      </c>
      <c r="T140" t="s">
        <v>1003</v>
      </c>
      <c r="U140" t="s">
        <v>1004</v>
      </c>
      <c r="V140">
        <v>39.08</v>
      </c>
      <c r="W140">
        <v>1</v>
      </c>
      <c r="X140">
        <v>23788.5</v>
      </c>
      <c r="Z140" t="s">
        <v>491</v>
      </c>
      <c r="AA140" t="s">
        <v>491</v>
      </c>
      <c r="AC140" t="s">
        <v>491</v>
      </c>
      <c r="AD140" t="s">
        <v>492</v>
      </c>
      <c r="AE140" t="s">
        <v>492</v>
      </c>
      <c r="AF140">
        <v>2</v>
      </c>
      <c r="AG140">
        <v>2</v>
      </c>
      <c r="AH140">
        <v>0</v>
      </c>
      <c r="AI140">
        <v>0</v>
      </c>
      <c r="AJ140">
        <v>0</v>
      </c>
      <c r="AK140">
        <v>0</v>
      </c>
      <c r="AL140">
        <v>0</v>
      </c>
      <c r="AM140">
        <v>2</v>
      </c>
      <c r="AN140" t="s">
        <v>493</v>
      </c>
      <c r="AO140" t="s">
        <v>494</v>
      </c>
      <c r="AP140">
        <v>17</v>
      </c>
      <c r="AQ140" t="s">
        <v>495</v>
      </c>
      <c r="AR140" t="s">
        <v>496</v>
      </c>
      <c r="AS140">
        <v>5</v>
      </c>
      <c r="AT140" t="s">
        <v>497</v>
      </c>
      <c r="AU140" t="s">
        <v>1035</v>
      </c>
      <c r="AV140" t="s">
        <v>498</v>
      </c>
      <c r="AW140" t="s">
        <v>1037</v>
      </c>
      <c r="AX140">
        <v>44.794701119999999</v>
      </c>
      <c r="AY140">
        <v>-68.766163859999992</v>
      </c>
      <c r="AZ140">
        <v>11</v>
      </c>
      <c r="BA140" t="s">
        <v>551</v>
      </c>
      <c r="BB140" t="s">
        <v>501</v>
      </c>
      <c r="BC140">
        <v>3111001</v>
      </c>
      <c r="BD140">
        <v>4</v>
      </c>
      <c r="BE140" t="s">
        <v>502</v>
      </c>
      <c r="BF140" t="s">
        <v>503</v>
      </c>
      <c r="BG140" t="s">
        <v>504</v>
      </c>
      <c r="BH140" t="s">
        <v>505</v>
      </c>
      <c r="BI140">
        <v>20966</v>
      </c>
      <c r="BJ140">
        <v>0</v>
      </c>
    </row>
    <row r="141" spans="1:62" x14ac:dyDescent="0.35">
      <c r="A141" t="s">
        <v>1001</v>
      </c>
      <c r="B141" t="s">
        <v>1038</v>
      </c>
      <c r="C141" s="292">
        <v>45265</v>
      </c>
      <c r="D141" t="s">
        <v>479</v>
      </c>
      <c r="E141" t="s">
        <v>480</v>
      </c>
      <c r="F141" t="s">
        <v>1039</v>
      </c>
      <c r="G141">
        <v>2023</v>
      </c>
      <c r="H141" t="s">
        <v>396</v>
      </c>
      <c r="I141" t="s">
        <v>482</v>
      </c>
      <c r="J141" t="s">
        <v>483</v>
      </c>
      <c r="K141" t="s">
        <v>576</v>
      </c>
      <c r="L141" t="s">
        <v>526</v>
      </c>
      <c r="M141" t="s">
        <v>563</v>
      </c>
      <c r="N141" t="s">
        <v>487</v>
      </c>
      <c r="O141" t="s">
        <v>553</v>
      </c>
      <c r="Q141" t="s">
        <v>488</v>
      </c>
      <c r="S141">
        <v>60190</v>
      </c>
      <c r="T141" t="s">
        <v>1003</v>
      </c>
      <c r="U141" t="s">
        <v>1004</v>
      </c>
      <c r="V141">
        <v>39.9</v>
      </c>
      <c r="W141">
        <v>1</v>
      </c>
      <c r="X141">
        <v>9615</v>
      </c>
      <c r="Z141" t="s">
        <v>491</v>
      </c>
      <c r="AA141" t="s">
        <v>491</v>
      </c>
      <c r="AC141" t="s">
        <v>491</v>
      </c>
      <c r="AD141" t="s">
        <v>492</v>
      </c>
      <c r="AE141" t="s">
        <v>492</v>
      </c>
      <c r="AF141">
        <v>2</v>
      </c>
      <c r="AG141">
        <v>2</v>
      </c>
      <c r="AH141">
        <v>0</v>
      </c>
      <c r="AI141">
        <v>0</v>
      </c>
      <c r="AJ141">
        <v>0</v>
      </c>
      <c r="AK141">
        <v>0</v>
      </c>
      <c r="AL141">
        <v>0</v>
      </c>
      <c r="AM141">
        <v>2</v>
      </c>
      <c r="AN141" t="s">
        <v>493</v>
      </c>
      <c r="AO141" t="s">
        <v>494</v>
      </c>
      <c r="AP141">
        <v>12</v>
      </c>
      <c r="AQ141" t="s">
        <v>795</v>
      </c>
      <c r="AR141" t="s">
        <v>496</v>
      </c>
      <c r="AS141">
        <v>3</v>
      </c>
      <c r="AT141" t="s">
        <v>497</v>
      </c>
      <c r="AU141" t="s">
        <v>1038</v>
      </c>
      <c r="AV141" t="s">
        <v>498</v>
      </c>
      <c r="AW141" t="s">
        <v>1040</v>
      </c>
      <c r="AX141">
        <v>44.786212310000003</v>
      </c>
      <c r="AY141">
        <v>-68.754702559999998</v>
      </c>
      <c r="AZ141">
        <v>12</v>
      </c>
      <c r="BA141" t="s">
        <v>534</v>
      </c>
      <c r="BB141" t="s">
        <v>501</v>
      </c>
      <c r="BC141">
        <v>2071517</v>
      </c>
      <c r="BD141">
        <v>4</v>
      </c>
      <c r="BE141" t="s">
        <v>502</v>
      </c>
      <c r="BF141" t="s">
        <v>503</v>
      </c>
      <c r="BG141" t="s">
        <v>504</v>
      </c>
      <c r="BH141" t="s">
        <v>505</v>
      </c>
      <c r="BI141">
        <v>21142</v>
      </c>
      <c r="BJ141">
        <v>0</v>
      </c>
    </row>
    <row r="142" spans="1:62" x14ac:dyDescent="0.35">
      <c r="A142" t="s">
        <v>1001</v>
      </c>
      <c r="B142" t="s">
        <v>1041</v>
      </c>
      <c r="C142" s="292">
        <v>43297</v>
      </c>
      <c r="D142" t="s">
        <v>479</v>
      </c>
      <c r="E142" t="s">
        <v>523</v>
      </c>
      <c r="F142" t="s">
        <v>1042</v>
      </c>
      <c r="G142">
        <v>2018</v>
      </c>
      <c r="H142" t="s">
        <v>396</v>
      </c>
      <c r="I142" t="s">
        <v>482</v>
      </c>
      <c r="J142" t="s">
        <v>510</v>
      </c>
      <c r="K142" t="s">
        <v>484</v>
      </c>
      <c r="L142" t="s">
        <v>485</v>
      </c>
      <c r="M142" t="s">
        <v>486</v>
      </c>
      <c r="N142" t="s">
        <v>487</v>
      </c>
      <c r="O142" t="s">
        <v>488</v>
      </c>
      <c r="Q142" t="s">
        <v>564</v>
      </c>
      <c r="S142">
        <v>39685</v>
      </c>
      <c r="T142" t="s">
        <v>1003</v>
      </c>
      <c r="U142" t="s">
        <v>1004</v>
      </c>
      <c r="V142">
        <v>39.08</v>
      </c>
      <c r="W142">
        <v>1</v>
      </c>
      <c r="X142">
        <v>23788.5</v>
      </c>
      <c r="Z142" t="s">
        <v>491</v>
      </c>
      <c r="AA142" t="s">
        <v>491</v>
      </c>
      <c r="AB142" t="s">
        <v>491</v>
      </c>
      <c r="AC142" t="s">
        <v>491</v>
      </c>
      <c r="AD142" t="s">
        <v>492</v>
      </c>
      <c r="AE142" t="s">
        <v>492</v>
      </c>
      <c r="AF142">
        <v>2</v>
      </c>
      <c r="AG142">
        <v>2</v>
      </c>
      <c r="AH142">
        <v>0</v>
      </c>
      <c r="AI142">
        <v>0</v>
      </c>
      <c r="AJ142">
        <v>0</v>
      </c>
      <c r="AK142">
        <v>0</v>
      </c>
      <c r="AL142">
        <v>0</v>
      </c>
      <c r="AM142">
        <v>2</v>
      </c>
      <c r="AN142" t="s">
        <v>493</v>
      </c>
      <c r="AO142" t="s">
        <v>494</v>
      </c>
      <c r="AP142">
        <v>11</v>
      </c>
      <c r="AQ142" t="s">
        <v>495</v>
      </c>
      <c r="AR142" t="s">
        <v>496</v>
      </c>
      <c r="AS142">
        <v>2</v>
      </c>
      <c r="AT142" t="s">
        <v>497</v>
      </c>
      <c r="AU142" t="s">
        <v>1041</v>
      </c>
      <c r="AV142" t="s">
        <v>498</v>
      </c>
      <c r="AW142" t="s">
        <v>1043</v>
      </c>
      <c r="AX142">
        <v>44.794701119999999</v>
      </c>
      <c r="AY142">
        <v>-68.766163859999992</v>
      </c>
      <c r="AZ142">
        <v>7</v>
      </c>
      <c r="BA142" t="s">
        <v>500</v>
      </c>
      <c r="BB142" t="s">
        <v>501</v>
      </c>
      <c r="BC142">
        <v>3111001</v>
      </c>
      <c r="BD142">
        <v>4</v>
      </c>
      <c r="BE142" t="s">
        <v>502</v>
      </c>
      <c r="BF142" t="s">
        <v>503</v>
      </c>
      <c r="BG142" t="s">
        <v>504</v>
      </c>
      <c r="BH142" t="s">
        <v>505</v>
      </c>
      <c r="BI142">
        <v>25533</v>
      </c>
      <c r="BJ142">
        <v>0</v>
      </c>
    </row>
    <row r="143" spans="1:62" x14ac:dyDescent="0.35">
      <c r="A143" t="s">
        <v>1001</v>
      </c>
      <c r="B143" t="s">
        <v>1044</v>
      </c>
      <c r="C143" s="292">
        <v>43305</v>
      </c>
      <c r="D143" t="s">
        <v>479</v>
      </c>
      <c r="E143" t="s">
        <v>541</v>
      </c>
      <c r="F143" t="s">
        <v>1045</v>
      </c>
      <c r="G143">
        <v>2018</v>
      </c>
      <c r="H143" t="s">
        <v>396</v>
      </c>
      <c r="I143" t="s">
        <v>482</v>
      </c>
      <c r="J143" t="s">
        <v>510</v>
      </c>
      <c r="K143" t="s">
        <v>556</v>
      </c>
      <c r="L143" t="s">
        <v>485</v>
      </c>
      <c r="M143" t="s">
        <v>486</v>
      </c>
      <c r="N143" t="s">
        <v>487</v>
      </c>
      <c r="O143" t="s">
        <v>511</v>
      </c>
      <c r="Q143" t="s">
        <v>488</v>
      </c>
      <c r="T143" t="s">
        <v>1003</v>
      </c>
      <c r="U143" t="s">
        <v>1004</v>
      </c>
      <c r="V143">
        <v>39.97</v>
      </c>
      <c r="W143">
        <v>1</v>
      </c>
      <c r="X143">
        <v>9197</v>
      </c>
      <c r="Y143">
        <v>25</v>
      </c>
      <c r="Z143" t="s">
        <v>491</v>
      </c>
      <c r="AA143" t="s">
        <v>491</v>
      </c>
      <c r="AB143" t="s">
        <v>491</v>
      </c>
      <c r="AC143" t="s">
        <v>491</v>
      </c>
      <c r="AD143" t="s">
        <v>492</v>
      </c>
      <c r="AE143" t="s">
        <v>492</v>
      </c>
      <c r="AF143">
        <v>3</v>
      </c>
      <c r="AG143">
        <v>6</v>
      </c>
      <c r="AH143">
        <v>1</v>
      </c>
      <c r="AI143">
        <v>0</v>
      </c>
      <c r="AJ143">
        <v>0</v>
      </c>
      <c r="AK143">
        <v>0</v>
      </c>
      <c r="AL143">
        <v>1</v>
      </c>
      <c r="AM143">
        <v>5</v>
      </c>
      <c r="AN143" t="s">
        <v>519</v>
      </c>
      <c r="AO143" t="s">
        <v>494</v>
      </c>
      <c r="AP143">
        <v>18</v>
      </c>
      <c r="AQ143" t="s">
        <v>827</v>
      </c>
      <c r="AR143" t="s">
        <v>558</v>
      </c>
      <c r="AS143">
        <v>3</v>
      </c>
      <c r="AT143" t="s">
        <v>497</v>
      </c>
      <c r="AU143" t="s">
        <v>1044</v>
      </c>
      <c r="AV143" t="s">
        <v>498</v>
      </c>
      <c r="AW143" t="s">
        <v>1046</v>
      </c>
      <c r="AX143">
        <v>44.785444329999997</v>
      </c>
      <c r="AY143">
        <v>-68.753812920000001</v>
      </c>
      <c r="AZ143">
        <v>7</v>
      </c>
      <c r="BA143" t="s">
        <v>500</v>
      </c>
      <c r="BB143" t="s">
        <v>501</v>
      </c>
      <c r="BC143">
        <v>3111058</v>
      </c>
      <c r="BD143">
        <v>4</v>
      </c>
      <c r="BE143" t="s">
        <v>502</v>
      </c>
      <c r="BF143" t="s">
        <v>503</v>
      </c>
      <c r="BG143" t="s">
        <v>504</v>
      </c>
      <c r="BH143" t="s">
        <v>560</v>
      </c>
      <c r="BI143">
        <v>25970</v>
      </c>
      <c r="BJ143">
        <v>0.04</v>
      </c>
    </row>
    <row r="144" spans="1:62" x14ac:dyDescent="0.35">
      <c r="A144" t="s">
        <v>1001</v>
      </c>
      <c r="B144" t="s">
        <v>1047</v>
      </c>
      <c r="C144" s="292">
        <v>45372</v>
      </c>
      <c r="D144" t="s">
        <v>479</v>
      </c>
      <c r="E144" t="s">
        <v>801</v>
      </c>
      <c r="F144" t="s">
        <v>1048</v>
      </c>
      <c r="G144">
        <v>2024</v>
      </c>
      <c r="H144" t="s">
        <v>396</v>
      </c>
      <c r="I144" t="s">
        <v>482</v>
      </c>
      <c r="J144" t="s">
        <v>510</v>
      </c>
      <c r="K144" t="s">
        <v>556</v>
      </c>
      <c r="L144" t="s">
        <v>590</v>
      </c>
      <c r="M144" t="s">
        <v>590</v>
      </c>
      <c r="N144" t="s">
        <v>487</v>
      </c>
      <c r="O144" t="s">
        <v>729</v>
      </c>
      <c r="Q144" t="s">
        <v>488</v>
      </c>
      <c r="T144" t="s">
        <v>489</v>
      </c>
      <c r="U144" t="s">
        <v>490</v>
      </c>
      <c r="V144">
        <v>9.99</v>
      </c>
      <c r="W144">
        <v>2</v>
      </c>
      <c r="X144">
        <v>11220</v>
      </c>
      <c r="Y144">
        <v>25</v>
      </c>
      <c r="Z144" t="s">
        <v>491</v>
      </c>
      <c r="AA144" t="s">
        <v>491</v>
      </c>
      <c r="AC144" t="s">
        <v>491</v>
      </c>
      <c r="AD144" t="s">
        <v>492</v>
      </c>
      <c r="AE144" t="s">
        <v>492</v>
      </c>
      <c r="AF144">
        <v>2</v>
      </c>
      <c r="AG144">
        <v>2</v>
      </c>
      <c r="AH144">
        <v>0</v>
      </c>
      <c r="AI144">
        <v>0</v>
      </c>
      <c r="AJ144">
        <v>0</v>
      </c>
      <c r="AK144">
        <v>0</v>
      </c>
      <c r="AL144">
        <v>0</v>
      </c>
      <c r="AM144">
        <v>2</v>
      </c>
      <c r="AN144" t="s">
        <v>493</v>
      </c>
      <c r="AO144" t="s">
        <v>494</v>
      </c>
      <c r="AP144">
        <v>7</v>
      </c>
      <c r="AQ144" t="s">
        <v>495</v>
      </c>
      <c r="AR144" t="s">
        <v>558</v>
      </c>
      <c r="AS144">
        <v>5</v>
      </c>
      <c r="AT144" t="s">
        <v>497</v>
      </c>
      <c r="AU144" t="s">
        <v>1049</v>
      </c>
      <c r="AV144" t="s">
        <v>498</v>
      </c>
      <c r="AW144" t="s">
        <v>1050</v>
      </c>
      <c r="AX144">
        <v>44.794766989999999</v>
      </c>
      <c r="AY144">
        <v>-68.766021450000011</v>
      </c>
      <c r="AZ144">
        <v>3</v>
      </c>
      <c r="BA144" t="s">
        <v>622</v>
      </c>
      <c r="BB144" t="s">
        <v>501</v>
      </c>
      <c r="BC144">
        <v>3111001</v>
      </c>
      <c r="BD144">
        <v>4</v>
      </c>
      <c r="BE144" t="s">
        <v>502</v>
      </c>
      <c r="BF144" t="s">
        <v>503</v>
      </c>
      <c r="BG144" t="s">
        <v>504</v>
      </c>
      <c r="BH144" t="s">
        <v>560</v>
      </c>
      <c r="BI144">
        <v>26939</v>
      </c>
      <c r="BJ144">
        <v>0.01</v>
      </c>
    </row>
    <row r="145" spans="1:62" x14ac:dyDescent="0.35">
      <c r="A145" t="s">
        <v>1001</v>
      </c>
      <c r="B145" t="s">
        <v>1052</v>
      </c>
      <c r="C145" s="292">
        <v>44923</v>
      </c>
      <c r="D145" t="s">
        <v>479</v>
      </c>
      <c r="E145" t="s">
        <v>574</v>
      </c>
      <c r="F145" t="s">
        <v>1053</v>
      </c>
      <c r="G145">
        <v>2022</v>
      </c>
      <c r="H145" t="s">
        <v>396</v>
      </c>
      <c r="I145" t="s">
        <v>482</v>
      </c>
      <c r="J145" t="s">
        <v>510</v>
      </c>
      <c r="K145" t="s">
        <v>484</v>
      </c>
      <c r="L145" t="s">
        <v>485</v>
      </c>
      <c r="M145" t="s">
        <v>486</v>
      </c>
      <c r="O145" t="s">
        <v>586</v>
      </c>
      <c r="Q145" t="s">
        <v>488</v>
      </c>
      <c r="S145">
        <v>39685</v>
      </c>
      <c r="T145" t="s">
        <v>1003</v>
      </c>
      <c r="U145" t="s">
        <v>1004</v>
      </c>
      <c r="V145">
        <v>39.08</v>
      </c>
      <c r="W145">
        <v>1</v>
      </c>
      <c r="X145">
        <v>23788.5</v>
      </c>
      <c r="Z145" t="s">
        <v>491</v>
      </c>
      <c r="AA145" t="s">
        <v>491</v>
      </c>
      <c r="AC145" t="s">
        <v>491</v>
      </c>
      <c r="AD145" t="s">
        <v>492</v>
      </c>
      <c r="AE145" t="s">
        <v>492</v>
      </c>
      <c r="AF145">
        <v>2</v>
      </c>
      <c r="AG145">
        <v>2</v>
      </c>
      <c r="AH145">
        <v>2</v>
      </c>
      <c r="AI145">
        <v>0</v>
      </c>
      <c r="AJ145">
        <v>0</v>
      </c>
      <c r="AK145">
        <v>0</v>
      </c>
      <c r="AL145">
        <v>2</v>
      </c>
      <c r="AM145">
        <v>0</v>
      </c>
      <c r="AN145" t="s">
        <v>519</v>
      </c>
      <c r="AO145" t="s">
        <v>494</v>
      </c>
      <c r="AP145">
        <v>8</v>
      </c>
      <c r="AQ145" t="s">
        <v>396</v>
      </c>
      <c r="AR145" t="s">
        <v>496</v>
      </c>
      <c r="AS145">
        <v>4</v>
      </c>
      <c r="AT145" t="s">
        <v>497</v>
      </c>
      <c r="AU145" t="s">
        <v>1052</v>
      </c>
      <c r="AV145" t="s">
        <v>498</v>
      </c>
      <c r="AW145" t="s">
        <v>1054</v>
      </c>
      <c r="AX145">
        <v>44.794701119999999</v>
      </c>
      <c r="AY145">
        <v>-68.766163859999992</v>
      </c>
      <c r="AZ145">
        <v>12</v>
      </c>
      <c r="BA145" t="s">
        <v>534</v>
      </c>
      <c r="BB145" t="s">
        <v>501</v>
      </c>
      <c r="BC145">
        <v>3111001</v>
      </c>
      <c r="BD145">
        <v>4</v>
      </c>
      <c r="BE145" t="s">
        <v>502</v>
      </c>
      <c r="BF145" t="s">
        <v>503</v>
      </c>
      <c r="BG145" t="s">
        <v>504</v>
      </c>
      <c r="BH145" t="s">
        <v>505</v>
      </c>
      <c r="BI145">
        <v>32839</v>
      </c>
      <c r="BJ145">
        <v>0</v>
      </c>
    </row>
    <row r="146" spans="1:62" x14ac:dyDescent="0.35">
      <c r="A146" t="s">
        <v>1001</v>
      </c>
      <c r="B146" t="s">
        <v>1055</v>
      </c>
      <c r="C146" s="292">
        <v>44126</v>
      </c>
      <c r="D146" t="s">
        <v>479</v>
      </c>
      <c r="E146" t="s">
        <v>516</v>
      </c>
      <c r="F146" t="s">
        <v>711</v>
      </c>
      <c r="G146">
        <v>2020</v>
      </c>
      <c r="H146" t="s">
        <v>396</v>
      </c>
      <c r="I146" t="s">
        <v>482</v>
      </c>
      <c r="J146" t="s">
        <v>629</v>
      </c>
      <c r="K146" t="s">
        <v>770</v>
      </c>
      <c r="L146" t="s">
        <v>485</v>
      </c>
      <c r="M146" t="s">
        <v>486</v>
      </c>
      <c r="N146" t="s">
        <v>487</v>
      </c>
      <c r="O146" t="s">
        <v>488</v>
      </c>
      <c r="Q146" t="s">
        <v>488</v>
      </c>
      <c r="T146" t="s">
        <v>1003</v>
      </c>
      <c r="U146" t="s">
        <v>1004</v>
      </c>
      <c r="V146">
        <v>39.86</v>
      </c>
      <c r="W146">
        <v>1</v>
      </c>
      <c r="X146">
        <v>9113</v>
      </c>
      <c r="Y146">
        <v>25</v>
      </c>
      <c r="Z146" t="s">
        <v>491</v>
      </c>
      <c r="AA146" t="s">
        <v>491</v>
      </c>
      <c r="AB146" t="s">
        <v>491</v>
      </c>
      <c r="AC146" t="s">
        <v>491</v>
      </c>
      <c r="AD146" t="s">
        <v>492</v>
      </c>
      <c r="AE146" t="s">
        <v>492</v>
      </c>
      <c r="AF146">
        <v>2</v>
      </c>
      <c r="AG146">
        <v>2</v>
      </c>
      <c r="AH146">
        <v>0</v>
      </c>
      <c r="AI146">
        <v>0</v>
      </c>
      <c r="AJ146">
        <v>0</v>
      </c>
      <c r="AK146">
        <v>0</v>
      </c>
      <c r="AL146">
        <v>0</v>
      </c>
      <c r="AM146">
        <v>2</v>
      </c>
      <c r="AN146" t="s">
        <v>493</v>
      </c>
      <c r="AO146" t="s">
        <v>494</v>
      </c>
      <c r="AP146">
        <v>14</v>
      </c>
      <c r="AQ146" t="s">
        <v>495</v>
      </c>
      <c r="AR146" t="s">
        <v>558</v>
      </c>
      <c r="AS146">
        <v>5</v>
      </c>
      <c r="AT146" t="s">
        <v>497</v>
      </c>
      <c r="AU146" t="s">
        <v>1055</v>
      </c>
      <c r="AV146" t="s">
        <v>498</v>
      </c>
      <c r="AW146" t="s">
        <v>1056</v>
      </c>
      <c r="AX146">
        <v>44.78669</v>
      </c>
      <c r="AY146">
        <v>-68.755290000000002</v>
      </c>
      <c r="AZ146">
        <v>10</v>
      </c>
      <c r="BA146" t="s">
        <v>548</v>
      </c>
      <c r="BB146" t="s">
        <v>501</v>
      </c>
      <c r="BC146">
        <v>3129631</v>
      </c>
      <c r="BD146">
        <v>4</v>
      </c>
      <c r="BE146" t="s">
        <v>502</v>
      </c>
      <c r="BF146" t="s">
        <v>503</v>
      </c>
      <c r="BG146" t="s">
        <v>504</v>
      </c>
      <c r="BH146" t="s">
        <v>560</v>
      </c>
      <c r="BI146">
        <v>38119</v>
      </c>
      <c r="BJ146">
        <v>0.02</v>
      </c>
    </row>
    <row r="147" spans="1:62" x14ac:dyDescent="0.35">
      <c r="A147" t="s">
        <v>1001</v>
      </c>
      <c r="B147" t="s">
        <v>1057</v>
      </c>
      <c r="C147" s="292">
        <v>44945</v>
      </c>
      <c r="D147" t="s">
        <v>479</v>
      </c>
      <c r="E147" t="s">
        <v>516</v>
      </c>
      <c r="F147" t="s">
        <v>1058</v>
      </c>
      <c r="G147">
        <v>2023</v>
      </c>
      <c r="H147" t="s">
        <v>396</v>
      </c>
      <c r="I147" t="s">
        <v>482</v>
      </c>
      <c r="J147" t="s">
        <v>510</v>
      </c>
      <c r="K147" t="s">
        <v>525</v>
      </c>
      <c r="L147" t="s">
        <v>485</v>
      </c>
      <c r="M147" t="s">
        <v>486</v>
      </c>
      <c r="O147" t="s">
        <v>511</v>
      </c>
      <c r="Q147" t="s">
        <v>488</v>
      </c>
      <c r="S147">
        <v>39772</v>
      </c>
      <c r="T147" t="s">
        <v>1003</v>
      </c>
      <c r="U147" t="s">
        <v>1004</v>
      </c>
      <c r="V147">
        <v>39.229999999999997</v>
      </c>
      <c r="W147">
        <v>1</v>
      </c>
      <c r="X147">
        <v>8605.5</v>
      </c>
      <c r="Z147" t="s">
        <v>491</v>
      </c>
      <c r="AA147" t="s">
        <v>491</v>
      </c>
      <c r="AC147" t="s">
        <v>491</v>
      </c>
      <c r="AD147" t="s">
        <v>492</v>
      </c>
      <c r="AE147" t="s">
        <v>492</v>
      </c>
      <c r="AF147">
        <v>2</v>
      </c>
      <c r="AG147">
        <v>4</v>
      </c>
      <c r="AH147">
        <v>0</v>
      </c>
      <c r="AI147">
        <v>0</v>
      </c>
      <c r="AJ147">
        <v>0</v>
      </c>
      <c r="AK147">
        <v>0</v>
      </c>
      <c r="AL147">
        <v>0</v>
      </c>
      <c r="AM147">
        <v>4</v>
      </c>
      <c r="AN147" t="s">
        <v>493</v>
      </c>
      <c r="AO147" t="s">
        <v>494</v>
      </c>
      <c r="AP147">
        <v>7</v>
      </c>
      <c r="AQ147" t="s">
        <v>396</v>
      </c>
      <c r="AR147" t="s">
        <v>496</v>
      </c>
      <c r="AS147">
        <v>5</v>
      </c>
      <c r="AT147" t="s">
        <v>497</v>
      </c>
      <c r="AU147" t="s">
        <v>1059</v>
      </c>
      <c r="AV147" t="s">
        <v>498</v>
      </c>
      <c r="AW147" t="s">
        <v>1060</v>
      </c>
      <c r="AX147">
        <v>44.79353708</v>
      </c>
      <c r="AY147">
        <v>-68.763670699999992</v>
      </c>
      <c r="AZ147">
        <v>1</v>
      </c>
      <c r="BA147" t="s">
        <v>514</v>
      </c>
      <c r="BB147" t="s">
        <v>501</v>
      </c>
      <c r="BC147">
        <v>220183</v>
      </c>
      <c r="BD147">
        <v>4</v>
      </c>
      <c r="BE147" t="s">
        <v>502</v>
      </c>
      <c r="BF147" t="s">
        <v>503</v>
      </c>
      <c r="BG147" t="s">
        <v>504</v>
      </c>
      <c r="BH147" t="s">
        <v>505</v>
      </c>
      <c r="BI147">
        <v>44109</v>
      </c>
      <c r="BJ147">
        <v>0.03</v>
      </c>
    </row>
    <row r="148" spans="1:62" x14ac:dyDescent="0.35">
      <c r="A148" t="s">
        <v>1001</v>
      </c>
      <c r="B148" t="s">
        <v>1061</v>
      </c>
      <c r="C148" s="292">
        <v>43117</v>
      </c>
      <c r="D148" t="s">
        <v>479</v>
      </c>
      <c r="E148" t="s">
        <v>574</v>
      </c>
      <c r="F148" t="s">
        <v>1062</v>
      </c>
      <c r="G148">
        <v>2018</v>
      </c>
      <c r="H148" t="s">
        <v>396</v>
      </c>
      <c r="I148" t="s">
        <v>482</v>
      </c>
      <c r="J148" t="s">
        <v>510</v>
      </c>
      <c r="K148" t="s">
        <v>484</v>
      </c>
      <c r="L148" t="s">
        <v>590</v>
      </c>
      <c r="M148" t="s">
        <v>590</v>
      </c>
      <c r="N148" t="s">
        <v>487</v>
      </c>
      <c r="O148" t="s">
        <v>729</v>
      </c>
      <c r="Q148" t="s">
        <v>488</v>
      </c>
      <c r="S148">
        <v>39685</v>
      </c>
      <c r="T148" t="s">
        <v>1003</v>
      </c>
      <c r="U148" t="s">
        <v>1004</v>
      </c>
      <c r="V148">
        <v>39.08</v>
      </c>
      <c r="W148">
        <v>1</v>
      </c>
      <c r="X148">
        <v>23788.5</v>
      </c>
      <c r="Z148" t="s">
        <v>491</v>
      </c>
      <c r="AA148" t="s">
        <v>491</v>
      </c>
      <c r="AB148" t="s">
        <v>491</v>
      </c>
      <c r="AC148" t="s">
        <v>491</v>
      </c>
      <c r="AD148" t="s">
        <v>492</v>
      </c>
      <c r="AE148" t="s">
        <v>492</v>
      </c>
      <c r="AF148">
        <v>2</v>
      </c>
      <c r="AG148">
        <v>3</v>
      </c>
      <c r="AH148">
        <v>0</v>
      </c>
      <c r="AI148">
        <v>0</v>
      </c>
      <c r="AJ148">
        <v>0</v>
      </c>
      <c r="AK148">
        <v>0</v>
      </c>
      <c r="AL148">
        <v>0</v>
      </c>
      <c r="AM148">
        <v>3</v>
      </c>
      <c r="AN148" t="s">
        <v>493</v>
      </c>
      <c r="AO148" t="s">
        <v>494</v>
      </c>
      <c r="AP148">
        <v>16</v>
      </c>
      <c r="AQ148" t="s">
        <v>495</v>
      </c>
      <c r="AR148" t="s">
        <v>496</v>
      </c>
      <c r="AS148">
        <v>4</v>
      </c>
      <c r="AT148" t="s">
        <v>497</v>
      </c>
      <c r="AU148" t="s">
        <v>1063</v>
      </c>
      <c r="AV148" t="s">
        <v>498</v>
      </c>
      <c r="AW148" t="s">
        <v>1064</v>
      </c>
      <c r="AX148">
        <v>44.794701119999999</v>
      </c>
      <c r="AY148">
        <v>-68.766163859999992</v>
      </c>
      <c r="AZ148">
        <v>1</v>
      </c>
      <c r="BA148" t="s">
        <v>514</v>
      </c>
      <c r="BB148" t="s">
        <v>501</v>
      </c>
      <c r="BC148">
        <v>3111001</v>
      </c>
      <c r="BD148">
        <v>4</v>
      </c>
      <c r="BE148" t="s">
        <v>502</v>
      </c>
      <c r="BF148" t="s">
        <v>503</v>
      </c>
      <c r="BG148" t="s">
        <v>504</v>
      </c>
      <c r="BH148" t="s">
        <v>505</v>
      </c>
      <c r="BI148">
        <v>45776</v>
      </c>
      <c r="BJ148">
        <v>0</v>
      </c>
    </row>
    <row r="149" spans="1:62" x14ac:dyDescent="0.35">
      <c r="A149" t="s">
        <v>1001</v>
      </c>
      <c r="B149" t="s">
        <v>1065</v>
      </c>
      <c r="C149" s="292">
        <v>44592</v>
      </c>
      <c r="D149" t="s">
        <v>479</v>
      </c>
      <c r="E149" t="s">
        <v>523</v>
      </c>
      <c r="F149" t="s">
        <v>1066</v>
      </c>
      <c r="G149">
        <v>2022</v>
      </c>
      <c r="H149" t="s">
        <v>396</v>
      </c>
      <c r="I149" t="s">
        <v>482</v>
      </c>
      <c r="J149" t="s">
        <v>483</v>
      </c>
      <c r="K149" t="s">
        <v>484</v>
      </c>
      <c r="L149" t="s">
        <v>526</v>
      </c>
      <c r="M149" t="s">
        <v>486</v>
      </c>
      <c r="N149" t="s">
        <v>487</v>
      </c>
      <c r="O149" t="s">
        <v>609</v>
      </c>
      <c r="Q149" t="s">
        <v>488</v>
      </c>
      <c r="S149">
        <v>39685</v>
      </c>
      <c r="T149" t="s">
        <v>1003</v>
      </c>
      <c r="U149" t="s">
        <v>1004</v>
      </c>
      <c r="V149">
        <v>39.08</v>
      </c>
      <c r="W149">
        <v>1</v>
      </c>
      <c r="X149">
        <v>23788.5</v>
      </c>
      <c r="Z149" t="s">
        <v>491</v>
      </c>
      <c r="AA149" t="s">
        <v>491</v>
      </c>
      <c r="AB149" t="s">
        <v>491</v>
      </c>
      <c r="AC149" t="s">
        <v>491</v>
      </c>
      <c r="AD149" t="s">
        <v>492</v>
      </c>
      <c r="AE149" t="s">
        <v>492</v>
      </c>
      <c r="AF149">
        <v>2</v>
      </c>
      <c r="AG149">
        <v>3</v>
      </c>
      <c r="AH149">
        <v>2</v>
      </c>
      <c r="AI149">
        <v>0</v>
      </c>
      <c r="AJ149">
        <v>0</v>
      </c>
      <c r="AK149">
        <v>0</v>
      </c>
      <c r="AL149">
        <v>2</v>
      </c>
      <c r="AM149">
        <v>1</v>
      </c>
      <c r="AN149" t="s">
        <v>519</v>
      </c>
      <c r="AO149" t="s">
        <v>494</v>
      </c>
      <c r="AP149">
        <v>15</v>
      </c>
      <c r="AQ149" t="s">
        <v>495</v>
      </c>
      <c r="AR149" t="s">
        <v>496</v>
      </c>
      <c r="AS149">
        <v>2</v>
      </c>
      <c r="AT149" t="s">
        <v>497</v>
      </c>
      <c r="AU149" t="s">
        <v>1067</v>
      </c>
      <c r="AV149" t="s">
        <v>498</v>
      </c>
      <c r="AW149" t="s">
        <v>1068</v>
      </c>
      <c r="AX149">
        <v>44.794701119999999</v>
      </c>
      <c r="AY149">
        <v>-68.766163859999992</v>
      </c>
      <c r="AZ149">
        <v>1</v>
      </c>
      <c r="BA149" t="s">
        <v>514</v>
      </c>
      <c r="BB149" t="s">
        <v>501</v>
      </c>
      <c r="BC149">
        <v>3111001</v>
      </c>
      <c r="BD149">
        <v>4</v>
      </c>
      <c r="BE149" t="s">
        <v>502</v>
      </c>
      <c r="BF149" t="s">
        <v>503</v>
      </c>
      <c r="BG149" t="s">
        <v>504</v>
      </c>
      <c r="BH149" t="s">
        <v>505</v>
      </c>
      <c r="BI149">
        <v>48159</v>
      </c>
      <c r="BJ149">
        <v>0</v>
      </c>
    </row>
    <row r="150" spans="1:62" x14ac:dyDescent="0.35">
      <c r="A150" t="s">
        <v>1001</v>
      </c>
      <c r="B150" t="s">
        <v>1069</v>
      </c>
      <c r="C150" s="292">
        <v>43673</v>
      </c>
      <c r="D150" t="s">
        <v>479</v>
      </c>
      <c r="E150" t="s">
        <v>552</v>
      </c>
      <c r="F150" t="s">
        <v>1070</v>
      </c>
      <c r="G150">
        <v>2019</v>
      </c>
      <c r="H150" t="s">
        <v>396</v>
      </c>
      <c r="I150" t="s">
        <v>482</v>
      </c>
      <c r="J150" t="s">
        <v>629</v>
      </c>
      <c r="K150" t="s">
        <v>525</v>
      </c>
      <c r="L150" t="s">
        <v>485</v>
      </c>
      <c r="M150" t="s">
        <v>486</v>
      </c>
      <c r="O150" t="s">
        <v>609</v>
      </c>
      <c r="S150">
        <v>60190</v>
      </c>
      <c r="T150" t="s">
        <v>1003</v>
      </c>
      <c r="U150" t="s">
        <v>1004</v>
      </c>
      <c r="V150">
        <v>39.9</v>
      </c>
      <c r="W150">
        <v>1</v>
      </c>
      <c r="X150">
        <v>9615</v>
      </c>
      <c r="Z150" t="s">
        <v>491</v>
      </c>
      <c r="AA150" t="s">
        <v>491</v>
      </c>
      <c r="AB150" t="s">
        <v>491</v>
      </c>
      <c r="AC150" t="s">
        <v>491</v>
      </c>
      <c r="AD150" t="s">
        <v>492</v>
      </c>
      <c r="AE150" t="s">
        <v>492</v>
      </c>
      <c r="AF150">
        <v>1</v>
      </c>
      <c r="AG150">
        <v>1</v>
      </c>
      <c r="AH150">
        <v>1</v>
      </c>
      <c r="AI150">
        <v>0</v>
      </c>
      <c r="AJ150">
        <v>0</v>
      </c>
      <c r="AK150">
        <v>0</v>
      </c>
      <c r="AL150">
        <v>1</v>
      </c>
      <c r="AM150">
        <v>0</v>
      </c>
      <c r="AN150" t="s">
        <v>519</v>
      </c>
      <c r="AO150" t="s">
        <v>494</v>
      </c>
      <c r="AP150">
        <v>6</v>
      </c>
      <c r="AQ150" t="s">
        <v>396</v>
      </c>
      <c r="AR150" t="s">
        <v>496</v>
      </c>
      <c r="AS150">
        <v>7</v>
      </c>
      <c r="AT150" t="s">
        <v>497</v>
      </c>
      <c r="AU150" t="s">
        <v>1069</v>
      </c>
      <c r="AV150" t="s">
        <v>498</v>
      </c>
      <c r="AW150" t="s">
        <v>1071</v>
      </c>
      <c r="AX150">
        <v>44.786212310000003</v>
      </c>
      <c r="AY150">
        <v>-68.754702559999998</v>
      </c>
      <c r="AZ150">
        <v>7</v>
      </c>
      <c r="BA150" t="s">
        <v>500</v>
      </c>
      <c r="BB150" t="s">
        <v>501</v>
      </c>
      <c r="BC150">
        <v>2071517</v>
      </c>
      <c r="BD150">
        <v>4</v>
      </c>
      <c r="BE150" t="s">
        <v>502</v>
      </c>
      <c r="BF150" t="s">
        <v>503</v>
      </c>
      <c r="BG150" t="s">
        <v>504</v>
      </c>
      <c r="BH150" t="s">
        <v>505</v>
      </c>
      <c r="BI150">
        <v>48354</v>
      </c>
      <c r="BJ150">
        <v>0</v>
      </c>
    </row>
    <row r="151" spans="1:62" x14ac:dyDescent="0.35">
      <c r="A151" t="s">
        <v>1001</v>
      </c>
      <c r="B151" t="s">
        <v>1072</v>
      </c>
      <c r="C151" s="292">
        <v>44719</v>
      </c>
      <c r="D151" t="s">
        <v>479</v>
      </c>
      <c r="E151" t="s">
        <v>541</v>
      </c>
      <c r="F151" t="s">
        <v>826</v>
      </c>
      <c r="G151">
        <v>2022</v>
      </c>
      <c r="H151" t="s">
        <v>396</v>
      </c>
      <c r="I151" t="s">
        <v>482</v>
      </c>
      <c r="J151" t="s">
        <v>510</v>
      </c>
      <c r="K151" t="s">
        <v>484</v>
      </c>
      <c r="L151" t="s">
        <v>485</v>
      </c>
      <c r="M151" t="s">
        <v>486</v>
      </c>
      <c r="N151" t="s">
        <v>487</v>
      </c>
      <c r="O151" t="s">
        <v>511</v>
      </c>
      <c r="Q151" t="s">
        <v>488</v>
      </c>
      <c r="S151">
        <v>39685</v>
      </c>
      <c r="T151" t="s">
        <v>1003</v>
      </c>
      <c r="U151" t="s">
        <v>1004</v>
      </c>
      <c r="V151">
        <v>39.08</v>
      </c>
      <c r="W151">
        <v>1</v>
      </c>
      <c r="X151">
        <v>23788.5</v>
      </c>
      <c r="Z151" t="s">
        <v>491</v>
      </c>
      <c r="AA151" t="s">
        <v>491</v>
      </c>
      <c r="AB151" t="s">
        <v>491</v>
      </c>
      <c r="AC151" t="s">
        <v>491</v>
      </c>
      <c r="AD151" t="s">
        <v>492</v>
      </c>
      <c r="AE151" t="s">
        <v>492</v>
      </c>
      <c r="AF151">
        <v>2</v>
      </c>
      <c r="AG151">
        <v>2</v>
      </c>
      <c r="AH151">
        <v>0</v>
      </c>
      <c r="AI151">
        <v>0</v>
      </c>
      <c r="AJ151">
        <v>0</v>
      </c>
      <c r="AK151">
        <v>0</v>
      </c>
      <c r="AL151">
        <v>0</v>
      </c>
      <c r="AM151">
        <v>2</v>
      </c>
      <c r="AN151" t="s">
        <v>493</v>
      </c>
      <c r="AO151" t="s">
        <v>494</v>
      </c>
      <c r="AP151">
        <v>17</v>
      </c>
      <c r="AQ151" t="s">
        <v>495</v>
      </c>
      <c r="AR151" t="s">
        <v>496</v>
      </c>
      <c r="AS151">
        <v>3</v>
      </c>
      <c r="AT151" t="s">
        <v>497</v>
      </c>
      <c r="AU151" t="s">
        <v>1072</v>
      </c>
      <c r="AV151" t="s">
        <v>498</v>
      </c>
      <c r="AW151" t="s">
        <v>1073</v>
      </c>
      <c r="AX151">
        <v>44.794701119999999</v>
      </c>
      <c r="AY151">
        <v>-68.766163859999992</v>
      </c>
      <c r="AZ151">
        <v>6</v>
      </c>
      <c r="BA151" t="s">
        <v>544</v>
      </c>
      <c r="BB151" t="s">
        <v>501</v>
      </c>
      <c r="BC151">
        <v>3111001</v>
      </c>
      <c r="BD151">
        <v>4</v>
      </c>
      <c r="BE151" t="s">
        <v>502</v>
      </c>
      <c r="BF151" t="s">
        <v>503</v>
      </c>
      <c r="BG151" t="s">
        <v>504</v>
      </c>
      <c r="BH151" t="s">
        <v>505</v>
      </c>
      <c r="BI151">
        <v>51537</v>
      </c>
      <c r="BJ151">
        <v>0</v>
      </c>
    </row>
    <row r="152" spans="1:62" x14ac:dyDescent="0.35">
      <c r="A152" t="s">
        <v>1001</v>
      </c>
      <c r="B152" t="s">
        <v>1074</v>
      </c>
      <c r="C152" s="292">
        <v>45546</v>
      </c>
      <c r="D152" t="s">
        <v>479</v>
      </c>
      <c r="E152" t="s">
        <v>574</v>
      </c>
      <c r="F152" t="s">
        <v>713</v>
      </c>
      <c r="G152">
        <v>2024</v>
      </c>
      <c r="H152" t="s">
        <v>396</v>
      </c>
      <c r="I152" t="s">
        <v>482</v>
      </c>
      <c r="J152" t="s">
        <v>483</v>
      </c>
      <c r="K152" t="s">
        <v>525</v>
      </c>
      <c r="L152" t="s">
        <v>485</v>
      </c>
      <c r="M152" t="s">
        <v>486</v>
      </c>
      <c r="O152" t="s">
        <v>586</v>
      </c>
      <c r="Q152" t="s">
        <v>488</v>
      </c>
      <c r="S152">
        <v>39772</v>
      </c>
      <c r="T152" t="s">
        <v>1003</v>
      </c>
      <c r="U152" t="s">
        <v>1004</v>
      </c>
      <c r="V152">
        <v>39.229999999999997</v>
      </c>
      <c r="W152">
        <v>1</v>
      </c>
      <c r="X152">
        <v>8605.5</v>
      </c>
      <c r="Z152" t="s">
        <v>491</v>
      </c>
      <c r="AA152" t="s">
        <v>491</v>
      </c>
      <c r="AC152" t="s">
        <v>646</v>
      </c>
      <c r="AD152" t="s">
        <v>492</v>
      </c>
      <c r="AE152" t="s">
        <v>492</v>
      </c>
      <c r="AF152">
        <v>2</v>
      </c>
      <c r="AG152">
        <v>2</v>
      </c>
      <c r="AH152">
        <v>1</v>
      </c>
      <c r="AI152">
        <v>0</v>
      </c>
      <c r="AJ152">
        <v>0</v>
      </c>
      <c r="AK152">
        <v>0</v>
      </c>
      <c r="AL152">
        <v>1</v>
      </c>
      <c r="AM152">
        <v>1</v>
      </c>
      <c r="AN152" t="s">
        <v>519</v>
      </c>
      <c r="AO152" t="s">
        <v>494</v>
      </c>
      <c r="AP152">
        <v>8</v>
      </c>
      <c r="AQ152" t="s">
        <v>396</v>
      </c>
      <c r="AR152" t="s">
        <v>496</v>
      </c>
      <c r="AS152">
        <v>4</v>
      </c>
      <c r="AT152" t="s">
        <v>497</v>
      </c>
      <c r="AU152" t="s">
        <v>1074</v>
      </c>
      <c r="AV152" t="s">
        <v>498</v>
      </c>
      <c r="AW152" t="s">
        <v>1075</v>
      </c>
      <c r="AX152">
        <v>44.79353708</v>
      </c>
      <c r="AY152">
        <v>-68.763670699999992</v>
      </c>
      <c r="AZ152">
        <v>9</v>
      </c>
      <c r="BA152" t="s">
        <v>601</v>
      </c>
      <c r="BB152" t="s">
        <v>501</v>
      </c>
      <c r="BC152">
        <v>220183</v>
      </c>
      <c r="BD152">
        <v>4</v>
      </c>
      <c r="BE152" t="s">
        <v>502</v>
      </c>
      <c r="BF152" t="s">
        <v>503</v>
      </c>
      <c r="BG152" t="s">
        <v>504</v>
      </c>
      <c r="BH152" t="s">
        <v>505</v>
      </c>
      <c r="BI152">
        <v>51944</v>
      </c>
      <c r="BJ152">
        <v>0.03</v>
      </c>
    </row>
    <row r="153" spans="1:62" x14ac:dyDescent="0.35">
      <c r="A153" t="s">
        <v>1001</v>
      </c>
      <c r="B153" t="s">
        <v>1076</v>
      </c>
      <c r="C153" s="292">
        <v>44695</v>
      </c>
      <c r="D153" t="s">
        <v>479</v>
      </c>
      <c r="E153" t="s">
        <v>552</v>
      </c>
      <c r="F153" t="s">
        <v>1077</v>
      </c>
      <c r="G153">
        <v>2022</v>
      </c>
      <c r="H153" t="s">
        <v>396</v>
      </c>
      <c r="I153" t="s">
        <v>482</v>
      </c>
      <c r="J153" t="s">
        <v>510</v>
      </c>
      <c r="K153" t="s">
        <v>525</v>
      </c>
      <c r="L153" t="s">
        <v>485</v>
      </c>
      <c r="M153" t="s">
        <v>486</v>
      </c>
      <c r="N153" t="s">
        <v>487</v>
      </c>
      <c r="O153" t="s">
        <v>511</v>
      </c>
      <c r="P153" t="s">
        <v>564</v>
      </c>
      <c r="Q153" t="s">
        <v>488</v>
      </c>
      <c r="S153">
        <v>38309</v>
      </c>
      <c r="T153" t="s">
        <v>1003</v>
      </c>
      <c r="U153" t="s">
        <v>1004</v>
      </c>
      <c r="V153">
        <v>39.840000000000003</v>
      </c>
      <c r="W153">
        <v>1</v>
      </c>
      <c r="X153">
        <v>9913.5</v>
      </c>
      <c r="Z153" t="s">
        <v>491</v>
      </c>
      <c r="AA153" t="s">
        <v>491</v>
      </c>
      <c r="AB153" t="s">
        <v>491</v>
      </c>
      <c r="AC153" t="s">
        <v>491</v>
      </c>
      <c r="AD153" t="s">
        <v>492</v>
      </c>
      <c r="AE153" t="s">
        <v>492</v>
      </c>
      <c r="AF153">
        <v>2</v>
      </c>
      <c r="AG153">
        <v>2</v>
      </c>
      <c r="AH153">
        <v>1</v>
      </c>
      <c r="AI153">
        <v>0</v>
      </c>
      <c r="AJ153">
        <v>0</v>
      </c>
      <c r="AK153">
        <v>0</v>
      </c>
      <c r="AL153">
        <v>1</v>
      </c>
      <c r="AM153">
        <v>1</v>
      </c>
      <c r="AN153" t="s">
        <v>519</v>
      </c>
      <c r="AO153" t="s">
        <v>494</v>
      </c>
      <c r="AP153">
        <v>19</v>
      </c>
      <c r="AQ153" t="s">
        <v>495</v>
      </c>
      <c r="AR153" t="s">
        <v>496</v>
      </c>
      <c r="AS153">
        <v>7</v>
      </c>
      <c r="AT153" t="s">
        <v>497</v>
      </c>
      <c r="AU153" t="s">
        <v>1076</v>
      </c>
      <c r="AV153" t="s">
        <v>498</v>
      </c>
      <c r="AW153" t="s">
        <v>1078</v>
      </c>
      <c r="AX153">
        <v>44.786902750000003</v>
      </c>
      <c r="AY153">
        <v>-68.75555507</v>
      </c>
      <c r="AZ153">
        <v>5</v>
      </c>
      <c r="BA153" t="s">
        <v>597</v>
      </c>
      <c r="BB153" t="s">
        <v>501</v>
      </c>
      <c r="BC153">
        <v>3115152</v>
      </c>
      <c r="BD153">
        <v>4</v>
      </c>
      <c r="BE153" t="s">
        <v>502</v>
      </c>
      <c r="BF153" t="s">
        <v>503</v>
      </c>
      <c r="BG153" t="s">
        <v>504</v>
      </c>
      <c r="BH153" t="s">
        <v>505</v>
      </c>
      <c r="BI153">
        <v>52413</v>
      </c>
      <c r="BJ153">
        <v>0</v>
      </c>
    </row>
    <row r="154" spans="1:62" x14ac:dyDescent="0.35">
      <c r="A154" t="s">
        <v>1001</v>
      </c>
      <c r="B154" t="s">
        <v>1079</v>
      </c>
      <c r="C154" s="292">
        <v>43223</v>
      </c>
      <c r="D154" t="s">
        <v>479</v>
      </c>
      <c r="E154" t="s">
        <v>516</v>
      </c>
      <c r="F154" t="s">
        <v>896</v>
      </c>
      <c r="G154">
        <v>2018</v>
      </c>
      <c r="H154" t="s">
        <v>396</v>
      </c>
      <c r="I154" t="s">
        <v>482</v>
      </c>
      <c r="J154" t="s">
        <v>510</v>
      </c>
      <c r="K154" t="s">
        <v>484</v>
      </c>
      <c r="L154" t="s">
        <v>485</v>
      </c>
      <c r="M154" t="s">
        <v>486</v>
      </c>
      <c r="N154" t="s">
        <v>487</v>
      </c>
      <c r="O154" t="s">
        <v>564</v>
      </c>
      <c r="Q154" t="s">
        <v>488</v>
      </c>
      <c r="S154">
        <v>39685</v>
      </c>
      <c r="T154" t="s">
        <v>1003</v>
      </c>
      <c r="U154" t="s">
        <v>1004</v>
      </c>
      <c r="V154">
        <v>39.08</v>
      </c>
      <c r="W154">
        <v>1</v>
      </c>
      <c r="X154">
        <v>23788.5</v>
      </c>
      <c r="Z154" t="s">
        <v>491</v>
      </c>
      <c r="AA154" t="s">
        <v>491</v>
      </c>
      <c r="AB154" t="s">
        <v>491</v>
      </c>
      <c r="AC154" t="s">
        <v>491</v>
      </c>
      <c r="AD154" t="s">
        <v>492</v>
      </c>
      <c r="AE154" t="s">
        <v>492</v>
      </c>
      <c r="AF154">
        <v>2</v>
      </c>
      <c r="AG154">
        <v>2</v>
      </c>
      <c r="AH154">
        <v>0</v>
      </c>
      <c r="AI154">
        <v>0</v>
      </c>
      <c r="AJ154">
        <v>0</v>
      </c>
      <c r="AK154">
        <v>0</v>
      </c>
      <c r="AL154">
        <v>0</v>
      </c>
      <c r="AM154">
        <v>2</v>
      </c>
      <c r="AN154" t="s">
        <v>493</v>
      </c>
      <c r="AO154" t="s">
        <v>494</v>
      </c>
      <c r="AP154">
        <v>7</v>
      </c>
      <c r="AQ154" t="s">
        <v>495</v>
      </c>
      <c r="AR154" t="s">
        <v>496</v>
      </c>
      <c r="AS154">
        <v>5</v>
      </c>
      <c r="AT154" t="s">
        <v>497</v>
      </c>
      <c r="AU154" t="s">
        <v>1079</v>
      </c>
      <c r="AV154" t="s">
        <v>498</v>
      </c>
      <c r="AW154" t="s">
        <v>1080</v>
      </c>
      <c r="AX154">
        <v>44.794701119999999</v>
      </c>
      <c r="AY154">
        <v>-68.766163859999992</v>
      </c>
      <c r="AZ154">
        <v>5</v>
      </c>
      <c r="BA154" t="s">
        <v>597</v>
      </c>
      <c r="BB154" t="s">
        <v>501</v>
      </c>
      <c r="BC154">
        <v>3111001</v>
      </c>
      <c r="BD154">
        <v>4</v>
      </c>
      <c r="BE154" t="s">
        <v>502</v>
      </c>
      <c r="BF154" t="s">
        <v>503</v>
      </c>
      <c r="BG154" t="s">
        <v>504</v>
      </c>
      <c r="BH154" t="s">
        <v>505</v>
      </c>
      <c r="BI154">
        <v>53062</v>
      </c>
      <c r="BJ154">
        <v>0</v>
      </c>
    </row>
    <row r="155" spans="1:62" x14ac:dyDescent="0.35">
      <c r="A155" t="s">
        <v>1001</v>
      </c>
      <c r="B155" t="s">
        <v>1081</v>
      </c>
      <c r="C155" s="292">
        <v>43144</v>
      </c>
      <c r="D155" t="s">
        <v>479</v>
      </c>
      <c r="E155" t="s">
        <v>541</v>
      </c>
      <c r="F155" t="s">
        <v>1082</v>
      </c>
      <c r="G155">
        <v>2018</v>
      </c>
      <c r="H155" t="s">
        <v>396</v>
      </c>
      <c r="I155" t="s">
        <v>482</v>
      </c>
      <c r="J155" t="s">
        <v>510</v>
      </c>
      <c r="K155" t="s">
        <v>525</v>
      </c>
      <c r="L155" t="s">
        <v>485</v>
      </c>
      <c r="M155" t="s">
        <v>486</v>
      </c>
      <c r="O155" t="s">
        <v>511</v>
      </c>
      <c r="Q155" t="s">
        <v>488</v>
      </c>
      <c r="S155">
        <v>39767</v>
      </c>
      <c r="T155" t="s">
        <v>1003</v>
      </c>
      <c r="U155" t="s">
        <v>1004</v>
      </c>
      <c r="V155">
        <v>39.58</v>
      </c>
      <c r="W155">
        <v>1</v>
      </c>
      <c r="X155">
        <v>9501</v>
      </c>
      <c r="Z155" t="s">
        <v>491</v>
      </c>
      <c r="AA155" t="s">
        <v>491</v>
      </c>
      <c r="AB155" t="s">
        <v>491</v>
      </c>
      <c r="AC155" t="s">
        <v>491</v>
      </c>
      <c r="AD155" t="s">
        <v>492</v>
      </c>
      <c r="AE155" t="s">
        <v>492</v>
      </c>
      <c r="AF155">
        <v>2</v>
      </c>
      <c r="AG155">
        <v>3</v>
      </c>
      <c r="AH155">
        <v>0</v>
      </c>
      <c r="AI155">
        <v>0</v>
      </c>
      <c r="AJ155">
        <v>0</v>
      </c>
      <c r="AK155">
        <v>0</v>
      </c>
      <c r="AL155">
        <v>0</v>
      </c>
      <c r="AM155">
        <v>3</v>
      </c>
      <c r="AN155" t="s">
        <v>493</v>
      </c>
      <c r="AO155" t="s">
        <v>494</v>
      </c>
      <c r="AP155">
        <v>14</v>
      </c>
      <c r="AQ155" t="s">
        <v>396</v>
      </c>
      <c r="AR155" t="s">
        <v>496</v>
      </c>
      <c r="AS155">
        <v>3</v>
      </c>
      <c r="AT155" t="s">
        <v>497</v>
      </c>
      <c r="AU155" t="s">
        <v>1083</v>
      </c>
      <c r="AV155" t="s">
        <v>498</v>
      </c>
      <c r="AW155" t="s">
        <v>1084</v>
      </c>
      <c r="AX155">
        <v>44.789710000000007</v>
      </c>
      <c r="AY155">
        <v>-68.759029999999996</v>
      </c>
      <c r="AZ155">
        <v>2</v>
      </c>
      <c r="BA155" t="s">
        <v>675</v>
      </c>
      <c r="BB155" t="s">
        <v>501</v>
      </c>
      <c r="BC155">
        <v>3124231</v>
      </c>
      <c r="BD155">
        <v>4</v>
      </c>
      <c r="BE155" t="s">
        <v>502</v>
      </c>
      <c r="BF155" t="s">
        <v>503</v>
      </c>
      <c r="BG155" t="s">
        <v>504</v>
      </c>
      <c r="BH155" t="s">
        <v>505</v>
      </c>
      <c r="BI155">
        <v>55428</v>
      </c>
      <c r="BJ155">
        <v>0</v>
      </c>
    </row>
    <row r="156" spans="1:62" x14ac:dyDescent="0.35">
      <c r="A156" t="s">
        <v>1001</v>
      </c>
      <c r="B156" t="s">
        <v>1086</v>
      </c>
      <c r="C156" s="292">
        <v>43698</v>
      </c>
      <c r="D156" t="s">
        <v>479</v>
      </c>
      <c r="E156" t="s">
        <v>574</v>
      </c>
      <c r="F156" t="s">
        <v>1087</v>
      </c>
      <c r="G156">
        <v>2019</v>
      </c>
      <c r="H156" t="s">
        <v>396</v>
      </c>
      <c r="I156" t="s">
        <v>482</v>
      </c>
      <c r="J156" t="s">
        <v>510</v>
      </c>
      <c r="K156" t="s">
        <v>484</v>
      </c>
      <c r="L156" t="s">
        <v>485</v>
      </c>
      <c r="M156" t="s">
        <v>486</v>
      </c>
      <c r="N156" t="s">
        <v>487</v>
      </c>
      <c r="O156" t="s">
        <v>511</v>
      </c>
      <c r="Q156" t="s">
        <v>488</v>
      </c>
      <c r="S156">
        <v>39685</v>
      </c>
      <c r="T156" t="s">
        <v>1003</v>
      </c>
      <c r="U156" t="s">
        <v>1004</v>
      </c>
      <c r="V156">
        <v>39.08</v>
      </c>
      <c r="W156">
        <v>1</v>
      </c>
      <c r="X156">
        <v>23788.5</v>
      </c>
      <c r="Z156" t="s">
        <v>491</v>
      </c>
      <c r="AA156" t="s">
        <v>491</v>
      </c>
      <c r="AB156" t="s">
        <v>491</v>
      </c>
      <c r="AC156" t="s">
        <v>491</v>
      </c>
      <c r="AD156" t="s">
        <v>492</v>
      </c>
      <c r="AE156" t="s">
        <v>492</v>
      </c>
      <c r="AF156">
        <v>2</v>
      </c>
      <c r="AG156">
        <v>7</v>
      </c>
      <c r="AH156">
        <v>0</v>
      </c>
      <c r="AI156">
        <v>0</v>
      </c>
      <c r="AJ156">
        <v>0</v>
      </c>
      <c r="AK156">
        <v>0</v>
      </c>
      <c r="AL156">
        <v>0</v>
      </c>
      <c r="AM156">
        <v>7</v>
      </c>
      <c r="AN156" t="s">
        <v>493</v>
      </c>
      <c r="AO156" t="s">
        <v>494</v>
      </c>
      <c r="AP156">
        <v>16</v>
      </c>
      <c r="AQ156" t="s">
        <v>495</v>
      </c>
      <c r="AR156" t="s">
        <v>496</v>
      </c>
      <c r="AS156">
        <v>4</v>
      </c>
      <c r="AT156" t="s">
        <v>497</v>
      </c>
      <c r="AU156" t="s">
        <v>1086</v>
      </c>
      <c r="AV156" t="s">
        <v>498</v>
      </c>
      <c r="AW156" t="s">
        <v>1088</v>
      </c>
      <c r="AX156">
        <v>44.794701119999999</v>
      </c>
      <c r="AY156">
        <v>-68.766163859999992</v>
      </c>
      <c r="AZ156">
        <v>8</v>
      </c>
      <c r="BA156" t="s">
        <v>667</v>
      </c>
      <c r="BB156" t="s">
        <v>501</v>
      </c>
      <c r="BC156">
        <v>3111001</v>
      </c>
      <c r="BD156">
        <v>4</v>
      </c>
      <c r="BE156" t="s">
        <v>502</v>
      </c>
      <c r="BF156" t="s">
        <v>503</v>
      </c>
      <c r="BG156" t="s">
        <v>504</v>
      </c>
      <c r="BH156" t="s">
        <v>505</v>
      </c>
      <c r="BI156">
        <v>58311</v>
      </c>
      <c r="BJ156">
        <v>0</v>
      </c>
    </row>
    <row r="157" spans="1:62" x14ac:dyDescent="0.35">
      <c r="A157" t="s">
        <v>1001</v>
      </c>
      <c r="B157" t="s">
        <v>1089</v>
      </c>
      <c r="C157" s="292">
        <v>45218</v>
      </c>
      <c r="D157" t="s">
        <v>479</v>
      </c>
      <c r="E157" t="s">
        <v>801</v>
      </c>
      <c r="F157" t="s">
        <v>1090</v>
      </c>
      <c r="G157">
        <v>2023</v>
      </c>
      <c r="H157" t="s">
        <v>396</v>
      </c>
      <c r="I157" t="s">
        <v>482</v>
      </c>
      <c r="J157" t="s">
        <v>510</v>
      </c>
      <c r="K157" t="s">
        <v>525</v>
      </c>
      <c r="L157" t="s">
        <v>485</v>
      </c>
      <c r="M157" t="s">
        <v>486</v>
      </c>
      <c r="N157" t="s">
        <v>487</v>
      </c>
      <c r="O157" t="s">
        <v>511</v>
      </c>
      <c r="Q157" t="s">
        <v>488</v>
      </c>
      <c r="S157">
        <v>38309</v>
      </c>
      <c r="T157" t="s">
        <v>1003</v>
      </c>
      <c r="U157" t="s">
        <v>1004</v>
      </c>
      <c r="V157">
        <v>39.840000000000003</v>
      </c>
      <c r="W157">
        <v>1</v>
      </c>
      <c r="X157">
        <v>9913.5</v>
      </c>
      <c r="Z157" t="s">
        <v>491</v>
      </c>
      <c r="AA157" t="s">
        <v>491</v>
      </c>
      <c r="AC157" t="s">
        <v>491</v>
      </c>
      <c r="AD157" t="s">
        <v>492</v>
      </c>
      <c r="AE157" t="s">
        <v>492</v>
      </c>
      <c r="AF157">
        <v>2</v>
      </c>
      <c r="AG157">
        <v>2</v>
      </c>
      <c r="AH157">
        <v>0</v>
      </c>
      <c r="AI157">
        <v>0</v>
      </c>
      <c r="AJ157">
        <v>0</v>
      </c>
      <c r="AK157">
        <v>0</v>
      </c>
      <c r="AL157">
        <v>0</v>
      </c>
      <c r="AM157">
        <v>2</v>
      </c>
      <c r="AN157" t="s">
        <v>493</v>
      </c>
      <c r="AO157" t="s">
        <v>494</v>
      </c>
      <c r="AP157">
        <v>16</v>
      </c>
      <c r="AQ157" t="s">
        <v>495</v>
      </c>
      <c r="AR157" t="s">
        <v>496</v>
      </c>
      <c r="AS157">
        <v>5</v>
      </c>
      <c r="AT157" t="s">
        <v>497</v>
      </c>
      <c r="AU157" t="s">
        <v>1089</v>
      </c>
      <c r="AV157" t="s">
        <v>498</v>
      </c>
      <c r="AW157" t="s">
        <v>1091</v>
      </c>
      <c r="AX157">
        <v>44.786902750000003</v>
      </c>
      <c r="AY157">
        <v>-68.75555507</v>
      </c>
      <c r="AZ157">
        <v>10</v>
      </c>
      <c r="BA157" t="s">
        <v>548</v>
      </c>
      <c r="BB157" t="s">
        <v>501</v>
      </c>
      <c r="BC157">
        <v>3115152</v>
      </c>
      <c r="BD157">
        <v>4</v>
      </c>
      <c r="BE157" t="s">
        <v>502</v>
      </c>
      <c r="BF157" t="s">
        <v>503</v>
      </c>
      <c r="BG157" t="s">
        <v>504</v>
      </c>
      <c r="BH157" t="s">
        <v>505</v>
      </c>
      <c r="BI157">
        <v>61356</v>
      </c>
      <c r="BJ157">
        <v>0</v>
      </c>
    </row>
    <row r="158" spans="1:62" x14ac:dyDescent="0.35">
      <c r="A158" t="s">
        <v>1001</v>
      </c>
      <c r="B158" t="s">
        <v>1093</v>
      </c>
      <c r="C158" s="292">
        <v>43734</v>
      </c>
      <c r="D158" t="s">
        <v>479</v>
      </c>
      <c r="E158" t="s">
        <v>516</v>
      </c>
      <c r="F158" t="s">
        <v>1094</v>
      </c>
      <c r="G158">
        <v>2019</v>
      </c>
      <c r="H158" t="s">
        <v>396</v>
      </c>
      <c r="I158" t="s">
        <v>532</v>
      </c>
      <c r="J158" t="s">
        <v>483</v>
      </c>
      <c r="K158" t="s">
        <v>484</v>
      </c>
      <c r="L158" t="s">
        <v>526</v>
      </c>
      <c r="M158" t="s">
        <v>665</v>
      </c>
      <c r="N158" t="s">
        <v>487</v>
      </c>
      <c r="O158" t="s">
        <v>553</v>
      </c>
      <c r="Q158" t="s">
        <v>488</v>
      </c>
      <c r="S158">
        <v>39685</v>
      </c>
      <c r="T158" t="s">
        <v>1003</v>
      </c>
      <c r="U158" t="s">
        <v>1004</v>
      </c>
      <c r="V158">
        <v>39.08</v>
      </c>
      <c r="W158">
        <v>1</v>
      </c>
      <c r="X158">
        <v>23788.5</v>
      </c>
      <c r="Z158" t="s">
        <v>491</v>
      </c>
      <c r="AA158" t="s">
        <v>491</v>
      </c>
      <c r="AB158" t="s">
        <v>491</v>
      </c>
      <c r="AC158" t="s">
        <v>491</v>
      </c>
      <c r="AD158" t="s">
        <v>492</v>
      </c>
      <c r="AE158" t="s">
        <v>492</v>
      </c>
      <c r="AF158">
        <v>2</v>
      </c>
      <c r="AG158">
        <v>4</v>
      </c>
      <c r="AH158">
        <v>0</v>
      </c>
      <c r="AI158">
        <v>0</v>
      </c>
      <c r="AJ158">
        <v>0</v>
      </c>
      <c r="AK158">
        <v>0</v>
      </c>
      <c r="AL158">
        <v>0</v>
      </c>
      <c r="AM158">
        <v>4</v>
      </c>
      <c r="AN158" t="s">
        <v>493</v>
      </c>
      <c r="AO158" t="s">
        <v>494</v>
      </c>
      <c r="AP158">
        <v>18</v>
      </c>
      <c r="AQ158" t="s">
        <v>495</v>
      </c>
      <c r="AR158" t="s">
        <v>496</v>
      </c>
      <c r="AS158">
        <v>5</v>
      </c>
      <c r="AT158" t="s">
        <v>497</v>
      </c>
      <c r="AU158" t="s">
        <v>1093</v>
      </c>
      <c r="AV158" t="s">
        <v>498</v>
      </c>
      <c r="AW158" t="s">
        <v>1095</v>
      </c>
      <c r="AX158">
        <v>44.794699999999999</v>
      </c>
      <c r="AY158">
        <v>-68.766159999999999</v>
      </c>
      <c r="AZ158">
        <v>9</v>
      </c>
      <c r="BA158" t="s">
        <v>601</v>
      </c>
      <c r="BB158" t="s">
        <v>501</v>
      </c>
      <c r="BC158">
        <v>3111001</v>
      </c>
      <c r="BD158">
        <v>4</v>
      </c>
      <c r="BE158" t="s">
        <v>502</v>
      </c>
      <c r="BF158" t="s">
        <v>503</v>
      </c>
      <c r="BG158" t="s">
        <v>504</v>
      </c>
      <c r="BH158" t="s">
        <v>505</v>
      </c>
      <c r="BI158">
        <v>65148</v>
      </c>
      <c r="BJ158">
        <v>0</v>
      </c>
    </row>
    <row r="159" spans="1:62" x14ac:dyDescent="0.35">
      <c r="A159" t="s">
        <v>1001</v>
      </c>
      <c r="B159" t="s">
        <v>1096</v>
      </c>
      <c r="C159" s="292">
        <v>43726</v>
      </c>
      <c r="D159" t="s">
        <v>479</v>
      </c>
      <c r="E159" t="s">
        <v>574</v>
      </c>
      <c r="F159" t="s">
        <v>1097</v>
      </c>
      <c r="G159">
        <v>2019</v>
      </c>
      <c r="H159" t="s">
        <v>396</v>
      </c>
      <c r="I159" t="s">
        <v>482</v>
      </c>
      <c r="J159" t="s">
        <v>483</v>
      </c>
      <c r="K159" t="s">
        <v>576</v>
      </c>
      <c r="L159" t="s">
        <v>485</v>
      </c>
      <c r="M159" t="s">
        <v>486</v>
      </c>
      <c r="O159" t="s">
        <v>553</v>
      </c>
      <c r="Q159" t="s">
        <v>488</v>
      </c>
      <c r="T159" t="s">
        <v>1003</v>
      </c>
      <c r="U159" t="s">
        <v>1004</v>
      </c>
      <c r="V159">
        <v>40.01</v>
      </c>
      <c r="W159">
        <v>1</v>
      </c>
      <c r="X159">
        <v>4809</v>
      </c>
      <c r="Y159">
        <v>25</v>
      </c>
      <c r="Z159" t="s">
        <v>491</v>
      </c>
      <c r="AA159" t="s">
        <v>491</v>
      </c>
      <c r="AB159" t="s">
        <v>491</v>
      </c>
      <c r="AC159" t="s">
        <v>491</v>
      </c>
      <c r="AD159" t="s">
        <v>492</v>
      </c>
      <c r="AE159" t="s">
        <v>492</v>
      </c>
      <c r="AF159">
        <v>2</v>
      </c>
      <c r="AG159">
        <v>2</v>
      </c>
      <c r="AH159">
        <v>0</v>
      </c>
      <c r="AI159">
        <v>0</v>
      </c>
      <c r="AJ159">
        <v>0</v>
      </c>
      <c r="AK159">
        <v>0</v>
      </c>
      <c r="AL159">
        <v>0</v>
      </c>
      <c r="AM159">
        <v>2</v>
      </c>
      <c r="AN159" t="s">
        <v>493</v>
      </c>
      <c r="AO159" t="s">
        <v>494</v>
      </c>
      <c r="AP159">
        <v>18</v>
      </c>
      <c r="AQ159" t="s">
        <v>396</v>
      </c>
      <c r="AR159" t="s">
        <v>558</v>
      </c>
      <c r="AS159">
        <v>4</v>
      </c>
      <c r="AT159" t="s">
        <v>497</v>
      </c>
      <c r="AU159" t="s">
        <v>1096</v>
      </c>
      <c r="AV159" t="s">
        <v>498</v>
      </c>
      <c r="AW159" t="s">
        <v>1098</v>
      </c>
      <c r="AX159">
        <v>44.784970000000001</v>
      </c>
      <c r="AY159">
        <v>-68.753200000000007</v>
      </c>
      <c r="AZ159">
        <v>9</v>
      </c>
      <c r="BA159" t="s">
        <v>601</v>
      </c>
      <c r="BB159" t="s">
        <v>501</v>
      </c>
      <c r="BC159">
        <v>3111057</v>
      </c>
      <c r="BD159">
        <v>4</v>
      </c>
      <c r="BE159" t="s">
        <v>502</v>
      </c>
      <c r="BF159" t="s">
        <v>503</v>
      </c>
      <c r="BG159" t="s">
        <v>504</v>
      </c>
      <c r="BH159" t="s">
        <v>560</v>
      </c>
      <c r="BI159">
        <v>66970</v>
      </c>
      <c r="BJ159">
        <v>0.01</v>
      </c>
    </row>
    <row r="160" spans="1:62" x14ac:dyDescent="0.35">
      <c r="A160" t="s">
        <v>1001</v>
      </c>
      <c r="B160" t="s">
        <v>1099</v>
      </c>
      <c r="C160" s="292">
        <v>43245</v>
      </c>
      <c r="D160" t="s">
        <v>479</v>
      </c>
      <c r="E160" t="s">
        <v>549</v>
      </c>
      <c r="F160" t="s">
        <v>704</v>
      </c>
      <c r="G160">
        <v>2018</v>
      </c>
      <c r="H160" t="s">
        <v>396</v>
      </c>
      <c r="I160" t="s">
        <v>482</v>
      </c>
      <c r="J160" t="s">
        <v>483</v>
      </c>
      <c r="K160" t="s">
        <v>525</v>
      </c>
      <c r="L160" t="s">
        <v>485</v>
      </c>
      <c r="M160" t="s">
        <v>563</v>
      </c>
      <c r="N160" t="s">
        <v>487</v>
      </c>
      <c r="O160" t="s">
        <v>553</v>
      </c>
      <c r="Q160" t="s">
        <v>488</v>
      </c>
      <c r="S160">
        <v>39767</v>
      </c>
      <c r="T160" t="s">
        <v>1003</v>
      </c>
      <c r="U160" t="s">
        <v>1004</v>
      </c>
      <c r="V160">
        <v>39.58</v>
      </c>
      <c r="W160">
        <v>1</v>
      </c>
      <c r="X160">
        <v>9501</v>
      </c>
      <c r="Z160" t="s">
        <v>491</v>
      </c>
      <c r="AA160" t="s">
        <v>491</v>
      </c>
      <c r="AB160" t="s">
        <v>491</v>
      </c>
      <c r="AC160" t="s">
        <v>491</v>
      </c>
      <c r="AD160" t="s">
        <v>492</v>
      </c>
      <c r="AE160" t="s">
        <v>492</v>
      </c>
      <c r="AF160">
        <v>2</v>
      </c>
      <c r="AG160">
        <v>3</v>
      </c>
      <c r="AH160">
        <v>0</v>
      </c>
      <c r="AI160">
        <v>0</v>
      </c>
      <c r="AJ160">
        <v>0</v>
      </c>
      <c r="AK160">
        <v>0</v>
      </c>
      <c r="AL160">
        <v>0</v>
      </c>
      <c r="AM160">
        <v>3</v>
      </c>
      <c r="AN160" t="s">
        <v>493</v>
      </c>
      <c r="AO160" t="s">
        <v>494</v>
      </c>
      <c r="AP160">
        <v>9</v>
      </c>
      <c r="AQ160" t="s">
        <v>795</v>
      </c>
      <c r="AR160" t="s">
        <v>496</v>
      </c>
      <c r="AS160">
        <v>6</v>
      </c>
      <c r="AT160" t="s">
        <v>497</v>
      </c>
      <c r="AU160" t="s">
        <v>1099</v>
      </c>
      <c r="AV160" t="s">
        <v>498</v>
      </c>
      <c r="AW160" t="s">
        <v>1100</v>
      </c>
      <c r="AX160">
        <v>44.789710600000006</v>
      </c>
      <c r="AY160">
        <v>-68.759029339999998</v>
      </c>
      <c r="AZ160">
        <v>5</v>
      </c>
      <c r="BA160" t="s">
        <v>597</v>
      </c>
      <c r="BB160" t="s">
        <v>501</v>
      </c>
      <c r="BC160">
        <v>3124231</v>
      </c>
      <c r="BD160">
        <v>4</v>
      </c>
      <c r="BE160" t="s">
        <v>502</v>
      </c>
      <c r="BF160" t="s">
        <v>503</v>
      </c>
      <c r="BG160" t="s">
        <v>504</v>
      </c>
      <c r="BH160" t="s">
        <v>505</v>
      </c>
      <c r="BI160">
        <v>68975</v>
      </c>
      <c r="BJ160">
        <v>0</v>
      </c>
    </row>
    <row r="161" spans="1:62" x14ac:dyDescent="0.35">
      <c r="A161" t="s">
        <v>1001</v>
      </c>
      <c r="B161" t="s">
        <v>1101</v>
      </c>
      <c r="C161" s="292">
        <v>43151</v>
      </c>
      <c r="D161" t="s">
        <v>479</v>
      </c>
      <c r="E161" t="s">
        <v>541</v>
      </c>
      <c r="F161" t="s">
        <v>517</v>
      </c>
      <c r="G161">
        <v>2018</v>
      </c>
      <c r="H161" t="s">
        <v>396</v>
      </c>
      <c r="I161" t="s">
        <v>482</v>
      </c>
      <c r="J161" t="s">
        <v>510</v>
      </c>
      <c r="K161" t="s">
        <v>484</v>
      </c>
      <c r="L161" t="s">
        <v>485</v>
      </c>
      <c r="M161" t="s">
        <v>486</v>
      </c>
      <c r="N161" t="s">
        <v>487</v>
      </c>
      <c r="O161" t="s">
        <v>511</v>
      </c>
      <c r="Q161" t="s">
        <v>488</v>
      </c>
      <c r="S161">
        <v>39685</v>
      </c>
      <c r="T161" t="s">
        <v>1003</v>
      </c>
      <c r="U161" t="s">
        <v>1004</v>
      </c>
      <c r="V161">
        <v>39.08</v>
      </c>
      <c r="W161">
        <v>1</v>
      </c>
      <c r="X161">
        <v>23788.5</v>
      </c>
      <c r="Z161" t="s">
        <v>491</v>
      </c>
      <c r="AA161" t="s">
        <v>491</v>
      </c>
      <c r="AB161" t="s">
        <v>491</v>
      </c>
      <c r="AC161" t="s">
        <v>491</v>
      </c>
      <c r="AD161" t="s">
        <v>492</v>
      </c>
      <c r="AE161" t="s">
        <v>492</v>
      </c>
      <c r="AF161">
        <v>2</v>
      </c>
      <c r="AG161">
        <v>2</v>
      </c>
      <c r="AH161">
        <v>1</v>
      </c>
      <c r="AI161">
        <v>0</v>
      </c>
      <c r="AJ161">
        <v>0</v>
      </c>
      <c r="AK161">
        <v>0</v>
      </c>
      <c r="AL161">
        <v>1</v>
      </c>
      <c r="AM161">
        <v>1</v>
      </c>
      <c r="AN161" t="s">
        <v>519</v>
      </c>
      <c r="AO161" t="s">
        <v>494</v>
      </c>
      <c r="AP161">
        <v>15</v>
      </c>
      <c r="AQ161" t="s">
        <v>495</v>
      </c>
      <c r="AR161" t="s">
        <v>496</v>
      </c>
      <c r="AS161">
        <v>3</v>
      </c>
      <c r="AT161" t="s">
        <v>497</v>
      </c>
      <c r="AU161" t="s">
        <v>1102</v>
      </c>
      <c r="AV161" t="s">
        <v>498</v>
      </c>
      <c r="AW161" t="s">
        <v>1103</v>
      </c>
      <c r="AX161">
        <v>44.794701119999999</v>
      </c>
      <c r="AY161">
        <v>-68.766163859999992</v>
      </c>
      <c r="AZ161">
        <v>2</v>
      </c>
      <c r="BA161" t="s">
        <v>675</v>
      </c>
      <c r="BB161" t="s">
        <v>501</v>
      </c>
      <c r="BC161">
        <v>3111001</v>
      </c>
      <c r="BD161">
        <v>4</v>
      </c>
      <c r="BE161" t="s">
        <v>502</v>
      </c>
      <c r="BF161" t="s">
        <v>503</v>
      </c>
      <c r="BG161" t="s">
        <v>504</v>
      </c>
      <c r="BH161" t="s">
        <v>505</v>
      </c>
      <c r="BI161">
        <v>69316</v>
      </c>
      <c r="BJ161">
        <v>0</v>
      </c>
    </row>
    <row r="162" spans="1:62" x14ac:dyDescent="0.35">
      <c r="A162" t="s">
        <v>1001</v>
      </c>
      <c r="B162" t="s">
        <v>1104</v>
      </c>
      <c r="C162" s="292">
        <v>45552</v>
      </c>
      <c r="D162" t="s">
        <v>479</v>
      </c>
      <c r="E162" t="s">
        <v>480</v>
      </c>
      <c r="F162" t="s">
        <v>612</v>
      </c>
      <c r="G162">
        <v>2024</v>
      </c>
      <c r="H162" t="s">
        <v>396</v>
      </c>
      <c r="I162" t="s">
        <v>482</v>
      </c>
      <c r="J162" t="s">
        <v>510</v>
      </c>
      <c r="K162" t="s">
        <v>484</v>
      </c>
      <c r="L162" t="s">
        <v>485</v>
      </c>
      <c r="M162" t="s">
        <v>486</v>
      </c>
      <c r="N162" t="s">
        <v>487</v>
      </c>
      <c r="O162" t="s">
        <v>564</v>
      </c>
      <c r="Q162" t="s">
        <v>488</v>
      </c>
      <c r="S162">
        <v>39685</v>
      </c>
      <c r="T162" t="s">
        <v>1003</v>
      </c>
      <c r="U162" t="s">
        <v>1004</v>
      </c>
      <c r="V162">
        <v>39.08</v>
      </c>
      <c r="W162">
        <v>1</v>
      </c>
      <c r="X162">
        <v>23788.5</v>
      </c>
      <c r="Z162" t="s">
        <v>491</v>
      </c>
      <c r="AA162" t="s">
        <v>491</v>
      </c>
      <c r="AC162" t="s">
        <v>646</v>
      </c>
      <c r="AD162" t="s">
        <v>492</v>
      </c>
      <c r="AE162" t="s">
        <v>487</v>
      </c>
      <c r="AF162">
        <v>3</v>
      </c>
      <c r="AG162">
        <v>4</v>
      </c>
      <c r="AH162">
        <v>1</v>
      </c>
      <c r="AI162">
        <v>0</v>
      </c>
      <c r="AJ162">
        <v>0</v>
      </c>
      <c r="AK162">
        <v>0</v>
      </c>
      <c r="AL162">
        <v>1</v>
      </c>
      <c r="AM162">
        <v>3</v>
      </c>
      <c r="AN162" t="s">
        <v>519</v>
      </c>
      <c r="AO162" t="s">
        <v>494</v>
      </c>
      <c r="AP162">
        <v>16</v>
      </c>
      <c r="AQ162" t="s">
        <v>495</v>
      </c>
      <c r="AR162" t="s">
        <v>496</v>
      </c>
      <c r="AS162">
        <v>3</v>
      </c>
      <c r="AT162" t="s">
        <v>497</v>
      </c>
      <c r="AU162" t="s">
        <v>1104</v>
      </c>
      <c r="AV162" t="s">
        <v>498</v>
      </c>
      <c r="AW162" t="s">
        <v>1105</v>
      </c>
      <c r="AX162">
        <v>44.794701119999999</v>
      </c>
      <c r="AY162">
        <v>-68.766163859999992</v>
      </c>
      <c r="AZ162">
        <v>9</v>
      </c>
      <c r="BA162" t="s">
        <v>601</v>
      </c>
      <c r="BB162" t="s">
        <v>501</v>
      </c>
      <c r="BC162">
        <v>3111001</v>
      </c>
      <c r="BD162">
        <v>4</v>
      </c>
      <c r="BE162" t="s">
        <v>502</v>
      </c>
      <c r="BF162" t="s">
        <v>503</v>
      </c>
      <c r="BG162" t="s">
        <v>504</v>
      </c>
      <c r="BH162" t="s">
        <v>505</v>
      </c>
      <c r="BI162">
        <v>71335</v>
      </c>
      <c r="BJ162">
        <v>0</v>
      </c>
    </row>
    <row r="163" spans="1:62" x14ac:dyDescent="0.35">
      <c r="A163" t="s">
        <v>1001</v>
      </c>
      <c r="B163" t="s">
        <v>1106</v>
      </c>
      <c r="C163" s="292">
        <v>43158</v>
      </c>
      <c r="D163" t="s">
        <v>479</v>
      </c>
      <c r="E163" t="s">
        <v>541</v>
      </c>
      <c r="F163" t="s">
        <v>1107</v>
      </c>
      <c r="G163">
        <v>2018</v>
      </c>
      <c r="H163" t="s">
        <v>396</v>
      </c>
      <c r="I163" t="s">
        <v>482</v>
      </c>
      <c r="J163" t="s">
        <v>483</v>
      </c>
      <c r="K163" t="s">
        <v>525</v>
      </c>
      <c r="L163" t="s">
        <v>485</v>
      </c>
      <c r="M163" t="s">
        <v>486</v>
      </c>
      <c r="N163" t="s">
        <v>487</v>
      </c>
      <c r="O163" t="s">
        <v>553</v>
      </c>
      <c r="Q163" t="s">
        <v>488</v>
      </c>
      <c r="S163">
        <v>60190</v>
      </c>
      <c r="T163" t="s">
        <v>1003</v>
      </c>
      <c r="U163" t="s">
        <v>1004</v>
      </c>
      <c r="V163">
        <v>39.9</v>
      </c>
      <c r="W163">
        <v>1</v>
      </c>
      <c r="X163">
        <v>9615</v>
      </c>
      <c r="Z163" t="s">
        <v>491</v>
      </c>
      <c r="AA163" t="s">
        <v>491</v>
      </c>
      <c r="AB163" t="s">
        <v>491</v>
      </c>
      <c r="AC163" t="s">
        <v>491</v>
      </c>
      <c r="AD163" t="s">
        <v>492</v>
      </c>
      <c r="AE163" t="s">
        <v>492</v>
      </c>
      <c r="AF163">
        <v>2</v>
      </c>
      <c r="AG163">
        <v>2</v>
      </c>
      <c r="AH163">
        <v>0</v>
      </c>
      <c r="AI163">
        <v>0</v>
      </c>
      <c r="AJ163">
        <v>0</v>
      </c>
      <c r="AK163">
        <v>0</v>
      </c>
      <c r="AL163">
        <v>0</v>
      </c>
      <c r="AM163">
        <v>2</v>
      </c>
      <c r="AN163" t="s">
        <v>493</v>
      </c>
      <c r="AO163" t="s">
        <v>494</v>
      </c>
      <c r="AP163">
        <v>8</v>
      </c>
      <c r="AQ163" t="s">
        <v>795</v>
      </c>
      <c r="AR163" t="s">
        <v>496</v>
      </c>
      <c r="AS163">
        <v>3</v>
      </c>
      <c r="AT163" t="s">
        <v>497</v>
      </c>
      <c r="AU163" t="s">
        <v>1108</v>
      </c>
      <c r="AV163" t="s">
        <v>498</v>
      </c>
      <c r="AW163" t="s">
        <v>1109</v>
      </c>
      <c r="AX163">
        <v>44.786212319999997</v>
      </c>
      <c r="AY163">
        <v>-68.754702550000005</v>
      </c>
      <c r="AZ163">
        <v>2</v>
      </c>
      <c r="BA163" t="s">
        <v>675</v>
      </c>
      <c r="BB163" t="s">
        <v>501</v>
      </c>
      <c r="BC163">
        <v>2071517</v>
      </c>
      <c r="BD163">
        <v>4</v>
      </c>
      <c r="BE163" t="s">
        <v>502</v>
      </c>
      <c r="BF163" t="s">
        <v>503</v>
      </c>
      <c r="BG163" t="s">
        <v>504</v>
      </c>
      <c r="BH163" t="s">
        <v>505</v>
      </c>
      <c r="BI163">
        <v>72586</v>
      </c>
      <c r="BJ163">
        <v>0</v>
      </c>
    </row>
    <row r="164" spans="1:62" x14ac:dyDescent="0.35">
      <c r="A164" t="s">
        <v>1001</v>
      </c>
      <c r="B164" t="s">
        <v>1110</v>
      </c>
      <c r="C164" s="292">
        <v>43151</v>
      </c>
      <c r="D164" t="s">
        <v>479</v>
      </c>
      <c r="E164" t="s">
        <v>541</v>
      </c>
      <c r="F164" t="s">
        <v>1111</v>
      </c>
      <c r="G164">
        <v>2018</v>
      </c>
      <c r="H164" t="s">
        <v>396</v>
      </c>
      <c r="I164" t="s">
        <v>532</v>
      </c>
      <c r="J164" t="s">
        <v>483</v>
      </c>
      <c r="K164" t="s">
        <v>484</v>
      </c>
      <c r="L164" t="s">
        <v>485</v>
      </c>
      <c r="M164" t="s">
        <v>563</v>
      </c>
      <c r="N164" t="s">
        <v>487</v>
      </c>
      <c r="O164" t="s">
        <v>586</v>
      </c>
      <c r="Q164" t="s">
        <v>488</v>
      </c>
      <c r="S164">
        <v>39685</v>
      </c>
      <c r="T164" t="s">
        <v>1003</v>
      </c>
      <c r="U164" t="s">
        <v>1004</v>
      </c>
      <c r="V164">
        <v>39.08</v>
      </c>
      <c r="W164">
        <v>1</v>
      </c>
      <c r="X164">
        <v>23788.5</v>
      </c>
      <c r="Z164" t="s">
        <v>491</v>
      </c>
      <c r="AA164" t="s">
        <v>491</v>
      </c>
      <c r="AB164" t="s">
        <v>491</v>
      </c>
      <c r="AC164" t="s">
        <v>491</v>
      </c>
      <c r="AD164" t="s">
        <v>492</v>
      </c>
      <c r="AE164" t="s">
        <v>492</v>
      </c>
      <c r="AF164">
        <v>2</v>
      </c>
      <c r="AG164">
        <v>3</v>
      </c>
      <c r="AH164">
        <v>3</v>
      </c>
      <c r="AI164">
        <v>0</v>
      </c>
      <c r="AJ164">
        <v>0</v>
      </c>
      <c r="AK164">
        <v>0</v>
      </c>
      <c r="AL164">
        <v>3</v>
      </c>
      <c r="AM164">
        <v>0</v>
      </c>
      <c r="AN164" t="s">
        <v>519</v>
      </c>
      <c r="AO164" t="s">
        <v>494</v>
      </c>
      <c r="AP164">
        <v>17</v>
      </c>
      <c r="AQ164" t="s">
        <v>495</v>
      </c>
      <c r="AR164" t="s">
        <v>496</v>
      </c>
      <c r="AS164">
        <v>3</v>
      </c>
      <c r="AT164" t="s">
        <v>497</v>
      </c>
      <c r="AU164" t="s">
        <v>1112</v>
      </c>
      <c r="AV164" t="s">
        <v>498</v>
      </c>
      <c r="AW164" t="s">
        <v>1113</v>
      </c>
      <c r="AX164">
        <v>44.794701119999999</v>
      </c>
      <c r="AY164">
        <v>-68.766163859999992</v>
      </c>
      <c r="AZ164">
        <v>2</v>
      </c>
      <c r="BA164" t="s">
        <v>675</v>
      </c>
      <c r="BB164" t="s">
        <v>501</v>
      </c>
      <c r="BC164">
        <v>3111001</v>
      </c>
      <c r="BD164">
        <v>4</v>
      </c>
      <c r="BE164" t="s">
        <v>502</v>
      </c>
      <c r="BF164" t="s">
        <v>503</v>
      </c>
      <c r="BG164" t="s">
        <v>504</v>
      </c>
      <c r="BH164" t="s">
        <v>505</v>
      </c>
      <c r="BI164">
        <v>72698</v>
      </c>
      <c r="BJ164">
        <v>0</v>
      </c>
    </row>
    <row r="165" spans="1:62" x14ac:dyDescent="0.35">
      <c r="A165" t="s">
        <v>1001</v>
      </c>
      <c r="B165" t="s">
        <v>1114</v>
      </c>
      <c r="C165" s="292">
        <v>45548</v>
      </c>
      <c r="D165" t="s">
        <v>479</v>
      </c>
      <c r="E165" t="s">
        <v>507</v>
      </c>
      <c r="F165" t="s">
        <v>814</v>
      </c>
      <c r="G165">
        <v>2024</v>
      </c>
      <c r="H165" t="s">
        <v>396</v>
      </c>
      <c r="I165" t="s">
        <v>482</v>
      </c>
      <c r="J165" t="s">
        <v>483</v>
      </c>
      <c r="K165" t="s">
        <v>484</v>
      </c>
      <c r="L165" t="s">
        <v>485</v>
      </c>
      <c r="M165" t="s">
        <v>486</v>
      </c>
      <c r="N165" t="s">
        <v>487</v>
      </c>
      <c r="O165" t="s">
        <v>553</v>
      </c>
      <c r="Q165" t="s">
        <v>488</v>
      </c>
      <c r="S165">
        <v>39685</v>
      </c>
      <c r="T165" t="s">
        <v>1003</v>
      </c>
      <c r="U165" t="s">
        <v>1004</v>
      </c>
      <c r="V165">
        <v>39.08</v>
      </c>
      <c r="W165">
        <v>1</v>
      </c>
      <c r="X165">
        <v>23788.5</v>
      </c>
      <c r="Z165" t="s">
        <v>491</v>
      </c>
      <c r="AA165" t="s">
        <v>491</v>
      </c>
      <c r="AC165" t="s">
        <v>491</v>
      </c>
      <c r="AD165" t="s">
        <v>492</v>
      </c>
      <c r="AE165" t="s">
        <v>492</v>
      </c>
      <c r="AF165">
        <v>2</v>
      </c>
      <c r="AG165">
        <v>2</v>
      </c>
      <c r="AH165">
        <v>0</v>
      </c>
      <c r="AI165">
        <v>0</v>
      </c>
      <c r="AJ165">
        <v>0</v>
      </c>
      <c r="AK165">
        <v>0</v>
      </c>
      <c r="AL165">
        <v>0</v>
      </c>
      <c r="AM165">
        <v>2</v>
      </c>
      <c r="AN165" t="s">
        <v>493</v>
      </c>
      <c r="AO165" t="s">
        <v>494</v>
      </c>
      <c r="AP165">
        <v>7</v>
      </c>
      <c r="AQ165" t="s">
        <v>495</v>
      </c>
      <c r="AR165" t="s">
        <v>496</v>
      </c>
      <c r="AS165">
        <v>6</v>
      </c>
      <c r="AT165" t="s">
        <v>497</v>
      </c>
      <c r="AU165" t="s">
        <v>1114</v>
      </c>
      <c r="AV165" t="s">
        <v>498</v>
      </c>
      <c r="AW165" t="s">
        <v>1115</v>
      </c>
      <c r="AX165">
        <v>44.794701119999999</v>
      </c>
      <c r="AY165">
        <v>-68.766163859999992</v>
      </c>
      <c r="AZ165">
        <v>9</v>
      </c>
      <c r="BA165" t="s">
        <v>601</v>
      </c>
      <c r="BB165" t="s">
        <v>501</v>
      </c>
      <c r="BC165">
        <v>3111001</v>
      </c>
      <c r="BD165">
        <v>4</v>
      </c>
      <c r="BE165" t="s">
        <v>502</v>
      </c>
      <c r="BF165" t="s">
        <v>503</v>
      </c>
      <c r="BG165" t="s">
        <v>504</v>
      </c>
      <c r="BH165" t="s">
        <v>505</v>
      </c>
      <c r="BI165">
        <v>74538</v>
      </c>
      <c r="BJ165">
        <v>0</v>
      </c>
    </row>
    <row r="166" spans="1:62" x14ac:dyDescent="0.35">
      <c r="A166" t="s">
        <v>1001</v>
      </c>
      <c r="B166" t="s">
        <v>1116</v>
      </c>
      <c r="C166" s="292">
        <v>44330</v>
      </c>
      <c r="D166" t="s">
        <v>479</v>
      </c>
      <c r="E166" t="s">
        <v>549</v>
      </c>
      <c r="F166" t="s">
        <v>1117</v>
      </c>
      <c r="G166">
        <v>2021</v>
      </c>
      <c r="H166" t="s">
        <v>396</v>
      </c>
      <c r="I166" t="s">
        <v>482</v>
      </c>
      <c r="J166" t="s">
        <v>510</v>
      </c>
      <c r="K166" t="s">
        <v>484</v>
      </c>
      <c r="L166" t="s">
        <v>485</v>
      </c>
      <c r="M166" t="s">
        <v>486</v>
      </c>
      <c r="N166" t="s">
        <v>487</v>
      </c>
      <c r="O166" t="s">
        <v>488</v>
      </c>
      <c r="Q166" t="s">
        <v>488</v>
      </c>
      <c r="S166">
        <v>39685</v>
      </c>
      <c r="T166" t="s">
        <v>1003</v>
      </c>
      <c r="U166" t="s">
        <v>1004</v>
      </c>
      <c r="V166">
        <v>39.08</v>
      </c>
      <c r="W166">
        <v>1</v>
      </c>
      <c r="X166">
        <v>23788.5</v>
      </c>
      <c r="Z166" t="s">
        <v>491</v>
      </c>
      <c r="AA166" t="s">
        <v>491</v>
      </c>
      <c r="AB166" t="s">
        <v>491</v>
      </c>
      <c r="AC166" t="s">
        <v>491</v>
      </c>
      <c r="AD166" t="s">
        <v>492</v>
      </c>
      <c r="AE166" t="s">
        <v>492</v>
      </c>
      <c r="AF166">
        <v>2</v>
      </c>
      <c r="AG166">
        <v>3</v>
      </c>
      <c r="AH166">
        <v>0</v>
      </c>
      <c r="AI166">
        <v>0</v>
      </c>
      <c r="AJ166">
        <v>0</v>
      </c>
      <c r="AK166">
        <v>0</v>
      </c>
      <c r="AL166">
        <v>0</v>
      </c>
      <c r="AM166">
        <v>3</v>
      </c>
      <c r="AN166" t="s">
        <v>493</v>
      </c>
      <c r="AO166" t="s">
        <v>494</v>
      </c>
      <c r="AP166">
        <v>12</v>
      </c>
      <c r="AQ166" t="s">
        <v>495</v>
      </c>
      <c r="AR166" t="s">
        <v>496</v>
      </c>
      <c r="AS166">
        <v>6</v>
      </c>
      <c r="AT166" t="s">
        <v>497</v>
      </c>
      <c r="AU166" t="s">
        <v>1116</v>
      </c>
      <c r="AV166" t="s">
        <v>498</v>
      </c>
      <c r="AW166" t="s">
        <v>1118</v>
      </c>
      <c r="AX166">
        <v>44.794701119999999</v>
      </c>
      <c r="AY166">
        <v>-68.766163859999992</v>
      </c>
      <c r="AZ166">
        <v>5</v>
      </c>
      <c r="BA166" t="s">
        <v>597</v>
      </c>
      <c r="BB166" t="s">
        <v>501</v>
      </c>
      <c r="BC166">
        <v>3111001</v>
      </c>
      <c r="BD166">
        <v>4</v>
      </c>
      <c r="BE166" t="s">
        <v>502</v>
      </c>
      <c r="BF166" t="s">
        <v>503</v>
      </c>
      <c r="BG166" t="s">
        <v>504</v>
      </c>
      <c r="BH166" t="s">
        <v>505</v>
      </c>
      <c r="BI166">
        <v>79102</v>
      </c>
      <c r="BJ166">
        <v>0</v>
      </c>
    </row>
    <row r="167" spans="1:62" x14ac:dyDescent="0.35">
      <c r="A167" t="s">
        <v>1001</v>
      </c>
      <c r="B167" t="s">
        <v>1119</v>
      </c>
      <c r="C167" s="292">
        <v>43479</v>
      </c>
      <c r="D167" t="s">
        <v>479</v>
      </c>
      <c r="E167" t="s">
        <v>523</v>
      </c>
      <c r="F167" t="s">
        <v>1120</v>
      </c>
      <c r="G167">
        <v>2019</v>
      </c>
      <c r="H167" t="s">
        <v>396</v>
      </c>
      <c r="I167" t="s">
        <v>482</v>
      </c>
      <c r="J167" t="s">
        <v>483</v>
      </c>
      <c r="K167" t="s">
        <v>484</v>
      </c>
      <c r="L167" t="s">
        <v>485</v>
      </c>
      <c r="M167" t="s">
        <v>486</v>
      </c>
      <c r="N167" t="s">
        <v>487</v>
      </c>
      <c r="O167" t="s">
        <v>553</v>
      </c>
      <c r="P167" t="s">
        <v>488</v>
      </c>
      <c r="Q167" t="s">
        <v>488</v>
      </c>
      <c r="S167">
        <v>39685</v>
      </c>
      <c r="T167" t="s">
        <v>1003</v>
      </c>
      <c r="U167" t="s">
        <v>1004</v>
      </c>
      <c r="V167">
        <v>39.08</v>
      </c>
      <c r="W167">
        <v>1</v>
      </c>
      <c r="X167">
        <v>23788.5</v>
      </c>
      <c r="Z167" t="s">
        <v>491</v>
      </c>
      <c r="AA167" t="s">
        <v>491</v>
      </c>
      <c r="AB167" t="s">
        <v>491</v>
      </c>
      <c r="AC167" t="s">
        <v>491</v>
      </c>
      <c r="AD167" t="s">
        <v>492</v>
      </c>
      <c r="AE167" t="s">
        <v>492</v>
      </c>
      <c r="AF167">
        <v>2</v>
      </c>
      <c r="AG167">
        <v>4</v>
      </c>
      <c r="AH167">
        <v>0</v>
      </c>
      <c r="AI167">
        <v>0</v>
      </c>
      <c r="AJ167">
        <v>0</v>
      </c>
      <c r="AK167">
        <v>0</v>
      </c>
      <c r="AL167">
        <v>0</v>
      </c>
      <c r="AM167">
        <v>4</v>
      </c>
      <c r="AN167" t="s">
        <v>493</v>
      </c>
      <c r="AO167" t="s">
        <v>494</v>
      </c>
      <c r="AP167">
        <v>12</v>
      </c>
      <c r="AQ167" t="s">
        <v>495</v>
      </c>
      <c r="AR167" t="s">
        <v>496</v>
      </c>
      <c r="AS167">
        <v>2</v>
      </c>
      <c r="AT167" t="s">
        <v>497</v>
      </c>
      <c r="AU167" t="s">
        <v>1121</v>
      </c>
      <c r="AV167" t="s">
        <v>498</v>
      </c>
      <c r="AW167" t="s">
        <v>1122</v>
      </c>
      <c r="AX167">
        <v>44.794701119999999</v>
      </c>
      <c r="AY167">
        <v>-68.766163859999992</v>
      </c>
      <c r="AZ167">
        <v>1</v>
      </c>
      <c r="BA167" t="s">
        <v>514</v>
      </c>
      <c r="BB167" t="s">
        <v>501</v>
      </c>
      <c r="BC167">
        <v>3111001</v>
      </c>
      <c r="BD167">
        <v>4</v>
      </c>
      <c r="BE167" t="s">
        <v>502</v>
      </c>
      <c r="BF167" t="s">
        <v>503</v>
      </c>
      <c r="BG167" t="s">
        <v>504</v>
      </c>
      <c r="BH167" t="s">
        <v>505</v>
      </c>
      <c r="BI167">
        <v>81744</v>
      </c>
      <c r="BJ167">
        <v>0</v>
      </c>
    </row>
    <row r="168" spans="1:62" x14ac:dyDescent="0.35">
      <c r="A168" t="s">
        <v>1001</v>
      </c>
      <c r="B168" t="s">
        <v>1123</v>
      </c>
      <c r="C168" s="292">
        <v>43446</v>
      </c>
      <c r="D168" t="s">
        <v>479</v>
      </c>
      <c r="E168" t="s">
        <v>574</v>
      </c>
      <c r="F168" t="s">
        <v>1124</v>
      </c>
      <c r="G168">
        <v>2018</v>
      </c>
      <c r="H168" t="s">
        <v>396</v>
      </c>
      <c r="I168" t="s">
        <v>482</v>
      </c>
      <c r="J168" t="s">
        <v>510</v>
      </c>
      <c r="K168" t="s">
        <v>484</v>
      </c>
      <c r="L168" t="s">
        <v>485</v>
      </c>
      <c r="M168" t="s">
        <v>486</v>
      </c>
      <c r="N168" t="s">
        <v>487</v>
      </c>
      <c r="O168" t="s">
        <v>511</v>
      </c>
      <c r="P168" t="s">
        <v>488</v>
      </c>
      <c r="Q168" t="s">
        <v>488</v>
      </c>
      <c r="S168">
        <v>39685</v>
      </c>
      <c r="T168" t="s">
        <v>1003</v>
      </c>
      <c r="U168" t="s">
        <v>1004</v>
      </c>
      <c r="V168">
        <v>39.08</v>
      </c>
      <c r="W168">
        <v>1</v>
      </c>
      <c r="X168">
        <v>23788.5</v>
      </c>
      <c r="Z168" t="s">
        <v>491</v>
      </c>
      <c r="AA168" t="s">
        <v>491</v>
      </c>
      <c r="AB168" t="s">
        <v>491</v>
      </c>
      <c r="AC168" t="s">
        <v>491</v>
      </c>
      <c r="AD168" t="s">
        <v>492</v>
      </c>
      <c r="AE168" t="s">
        <v>492</v>
      </c>
      <c r="AF168">
        <v>2</v>
      </c>
      <c r="AG168">
        <v>2</v>
      </c>
      <c r="AH168">
        <v>0</v>
      </c>
      <c r="AI168">
        <v>0</v>
      </c>
      <c r="AJ168">
        <v>0</v>
      </c>
      <c r="AK168">
        <v>0</v>
      </c>
      <c r="AL168">
        <v>0</v>
      </c>
      <c r="AM168">
        <v>2</v>
      </c>
      <c r="AN168" t="s">
        <v>493</v>
      </c>
      <c r="AO168" t="s">
        <v>494</v>
      </c>
      <c r="AP168">
        <v>11</v>
      </c>
      <c r="AQ168" t="s">
        <v>495</v>
      </c>
      <c r="AR168" t="s">
        <v>496</v>
      </c>
      <c r="AS168">
        <v>4</v>
      </c>
      <c r="AT168" t="s">
        <v>497</v>
      </c>
      <c r="AU168" t="s">
        <v>1123</v>
      </c>
      <c r="AV168" t="s">
        <v>498</v>
      </c>
      <c r="AW168" t="s">
        <v>1125</v>
      </c>
      <c r="AX168">
        <v>44.794710309999999</v>
      </c>
      <c r="AY168">
        <v>-68.766163829999996</v>
      </c>
      <c r="AZ168">
        <v>12</v>
      </c>
      <c r="BA168" t="s">
        <v>534</v>
      </c>
      <c r="BB168" t="s">
        <v>501</v>
      </c>
      <c r="BC168">
        <v>3111001</v>
      </c>
      <c r="BD168">
        <v>4</v>
      </c>
      <c r="BE168" t="s">
        <v>502</v>
      </c>
      <c r="BF168" t="s">
        <v>503</v>
      </c>
      <c r="BG168" t="s">
        <v>504</v>
      </c>
      <c r="BH168" t="s">
        <v>505</v>
      </c>
      <c r="BI168">
        <v>81878</v>
      </c>
      <c r="BJ168">
        <v>0</v>
      </c>
    </row>
    <row r="169" spans="1:62" x14ac:dyDescent="0.35">
      <c r="A169" t="s">
        <v>1001</v>
      </c>
      <c r="B169" t="s">
        <v>1126</v>
      </c>
      <c r="C169" s="292">
        <v>45380</v>
      </c>
      <c r="D169" t="s">
        <v>479</v>
      </c>
      <c r="E169" t="s">
        <v>507</v>
      </c>
      <c r="F169" t="s">
        <v>1127</v>
      </c>
      <c r="G169">
        <v>2024</v>
      </c>
      <c r="H169" t="s">
        <v>396</v>
      </c>
      <c r="I169" t="s">
        <v>482</v>
      </c>
      <c r="J169" t="s">
        <v>483</v>
      </c>
      <c r="K169" t="s">
        <v>525</v>
      </c>
      <c r="L169" t="s">
        <v>526</v>
      </c>
      <c r="M169" t="s">
        <v>665</v>
      </c>
      <c r="N169" t="s">
        <v>487</v>
      </c>
      <c r="O169" t="s">
        <v>496</v>
      </c>
      <c r="Q169" t="s">
        <v>496</v>
      </c>
      <c r="S169">
        <v>38309</v>
      </c>
      <c r="T169" t="s">
        <v>1003</v>
      </c>
      <c r="U169" t="s">
        <v>1004</v>
      </c>
      <c r="V169">
        <v>39.840000000000003</v>
      </c>
      <c r="W169">
        <v>1</v>
      </c>
      <c r="X169">
        <v>9913.5</v>
      </c>
      <c r="Z169" t="s">
        <v>491</v>
      </c>
      <c r="AA169" t="s">
        <v>491</v>
      </c>
      <c r="AC169" t="s">
        <v>491</v>
      </c>
      <c r="AD169" t="s">
        <v>492</v>
      </c>
      <c r="AE169" t="s">
        <v>492</v>
      </c>
      <c r="AF169">
        <v>2</v>
      </c>
      <c r="AG169">
        <v>5</v>
      </c>
      <c r="AH169">
        <v>0</v>
      </c>
      <c r="AI169">
        <v>0</v>
      </c>
      <c r="AJ169">
        <v>0</v>
      </c>
      <c r="AK169">
        <v>0</v>
      </c>
      <c r="AL169">
        <v>0</v>
      </c>
      <c r="AM169">
        <v>5</v>
      </c>
      <c r="AN169" t="s">
        <v>493</v>
      </c>
      <c r="AO169" t="s">
        <v>494</v>
      </c>
      <c r="AP169">
        <v>13</v>
      </c>
      <c r="AQ169" t="s">
        <v>495</v>
      </c>
      <c r="AR169" t="s">
        <v>496</v>
      </c>
      <c r="AS169">
        <v>6</v>
      </c>
      <c r="AT169" t="s">
        <v>497</v>
      </c>
      <c r="AU169" t="s">
        <v>1128</v>
      </c>
      <c r="AV169" t="s">
        <v>498</v>
      </c>
      <c r="AW169" t="s">
        <v>1129</v>
      </c>
      <c r="AX169">
        <v>44.786902750000003</v>
      </c>
      <c r="AY169">
        <v>-68.75555507</v>
      </c>
      <c r="AZ169">
        <v>3</v>
      </c>
      <c r="BA169" t="s">
        <v>622</v>
      </c>
      <c r="BB169" t="s">
        <v>501</v>
      </c>
      <c r="BC169">
        <v>3115152</v>
      </c>
      <c r="BD169">
        <v>4</v>
      </c>
      <c r="BE169" t="s">
        <v>502</v>
      </c>
      <c r="BF169" t="s">
        <v>503</v>
      </c>
      <c r="BG169" t="s">
        <v>504</v>
      </c>
      <c r="BH169" t="s">
        <v>505</v>
      </c>
      <c r="BI169">
        <v>84418</v>
      </c>
      <c r="BJ169">
        <v>0</v>
      </c>
    </row>
    <row r="170" spans="1:62" x14ac:dyDescent="0.35">
      <c r="A170" t="s">
        <v>1001</v>
      </c>
      <c r="B170" t="s">
        <v>1130</v>
      </c>
      <c r="C170" s="292">
        <v>44413</v>
      </c>
      <c r="D170" t="s">
        <v>479</v>
      </c>
      <c r="E170" t="s">
        <v>516</v>
      </c>
      <c r="F170" t="s">
        <v>751</v>
      </c>
      <c r="G170">
        <v>2021</v>
      </c>
      <c r="H170" t="s">
        <v>396</v>
      </c>
      <c r="I170" t="s">
        <v>482</v>
      </c>
      <c r="J170" t="s">
        <v>510</v>
      </c>
      <c r="K170" t="s">
        <v>484</v>
      </c>
      <c r="L170" t="s">
        <v>526</v>
      </c>
      <c r="M170" t="s">
        <v>665</v>
      </c>
      <c r="N170" t="s">
        <v>487</v>
      </c>
      <c r="O170" t="s">
        <v>511</v>
      </c>
      <c r="Q170" t="s">
        <v>488</v>
      </c>
      <c r="S170">
        <v>39685</v>
      </c>
      <c r="T170" t="s">
        <v>1003</v>
      </c>
      <c r="U170" t="s">
        <v>1004</v>
      </c>
      <c r="V170">
        <v>39.08</v>
      </c>
      <c r="W170">
        <v>1</v>
      </c>
      <c r="X170">
        <v>23788.5</v>
      </c>
      <c r="Z170" t="s">
        <v>491</v>
      </c>
      <c r="AA170" t="s">
        <v>491</v>
      </c>
      <c r="AB170" t="s">
        <v>491</v>
      </c>
      <c r="AC170" t="s">
        <v>491</v>
      </c>
      <c r="AD170" t="s">
        <v>492</v>
      </c>
      <c r="AE170" t="s">
        <v>492</v>
      </c>
      <c r="AF170">
        <v>2</v>
      </c>
      <c r="AG170">
        <v>3</v>
      </c>
      <c r="AH170">
        <v>0</v>
      </c>
      <c r="AI170">
        <v>0</v>
      </c>
      <c r="AJ170">
        <v>0</v>
      </c>
      <c r="AK170">
        <v>0</v>
      </c>
      <c r="AL170">
        <v>0</v>
      </c>
      <c r="AM170">
        <v>3</v>
      </c>
      <c r="AN170" t="s">
        <v>493</v>
      </c>
      <c r="AO170" t="s">
        <v>494</v>
      </c>
      <c r="AP170">
        <v>16</v>
      </c>
      <c r="AQ170" t="s">
        <v>495</v>
      </c>
      <c r="AR170" t="s">
        <v>496</v>
      </c>
      <c r="AS170">
        <v>5</v>
      </c>
      <c r="AT170" t="s">
        <v>497</v>
      </c>
      <c r="AU170" t="s">
        <v>1130</v>
      </c>
      <c r="AV170" t="s">
        <v>498</v>
      </c>
      <c r="AW170" t="s">
        <v>1131</v>
      </c>
      <c r="AX170">
        <v>44.794701119999999</v>
      </c>
      <c r="AY170">
        <v>-68.766163859999992</v>
      </c>
      <c r="AZ170">
        <v>8</v>
      </c>
      <c r="BA170" t="s">
        <v>667</v>
      </c>
      <c r="BB170" t="s">
        <v>501</v>
      </c>
      <c r="BC170">
        <v>3111001</v>
      </c>
      <c r="BD170">
        <v>4</v>
      </c>
      <c r="BE170" t="s">
        <v>502</v>
      </c>
      <c r="BF170" t="s">
        <v>503</v>
      </c>
      <c r="BG170" t="s">
        <v>504</v>
      </c>
      <c r="BH170" t="s">
        <v>505</v>
      </c>
      <c r="BI170">
        <v>84576</v>
      </c>
      <c r="BJ170">
        <v>0</v>
      </c>
    </row>
    <row r="171" spans="1:62" x14ac:dyDescent="0.35">
      <c r="A171" t="s">
        <v>1001</v>
      </c>
      <c r="B171" t="s">
        <v>1132</v>
      </c>
      <c r="C171" s="292">
        <v>43599</v>
      </c>
      <c r="D171" t="s">
        <v>479</v>
      </c>
      <c r="E171" t="s">
        <v>541</v>
      </c>
      <c r="F171" t="s">
        <v>716</v>
      </c>
      <c r="G171">
        <v>2019</v>
      </c>
      <c r="H171" t="s">
        <v>396</v>
      </c>
      <c r="I171" t="s">
        <v>482</v>
      </c>
      <c r="J171" t="s">
        <v>483</v>
      </c>
      <c r="K171" t="s">
        <v>525</v>
      </c>
      <c r="L171" t="s">
        <v>526</v>
      </c>
      <c r="M171" t="s">
        <v>486</v>
      </c>
      <c r="O171" t="s">
        <v>553</v>
      </c>
      <c r="Q171" t="s">
        <v>488</v>
      </c>
      <c r="S171">
        <v>60190</v>
      </c>
      <c r="T171" t="s">
        <v>1003</v>
      </c>
      <c r="U171" t="s">
        <v>1004</v>
      </c>
      <c r="V171">
        <v>39.9</v>
      </c>
      <c r="W171">
        <v>1</v>
      </c>
      <c r="X171">
        <v>9615</v>
      </c>
      <c r="Z171" t="s">
        <v>491</v>
      </c>
      <c r="AA171" t="s">
        <v>491</v>
      </c>
      <c r="AB171" t="s">
        <v>491</v>
      </c>
      <c r="AC171" t="s">
        <v>491</v>
      </c>
      <c r="AD171" t="s">
        <v>492</v>
      </c>
      <c r="AE171" t="s">
        <v>492</v>
      </c>
      <c r="AF171">
        <v>2</v>
      </c>
      <c r="AG171">
        <v>2</v>
      </c>
      <c r="AH171">
        <v>0</v>
      </c>
      <c r="AI171">
        <v>0</v>
      </c>
      <c r="AJ171">
        <v>0</v>
      </c>
      <c r="AK171">
        <v>0</v>
      </c>
      <c r="AL171">
        <v>0</v>
      </c>
      <c r="AM171">
        <v>2</v>
      </c>
      <c r="AN171" t="s">
        <v>493</v>
      </c>
      <c r="AO171" t="s">
        <v>494</v>
      </c>
      <c r="AP171">
        <v>17</v>
      </c>
      <c r="AQ171" t="s">
        <v>396</v>
      </c>
      <c r="AR171" t="s">
        <v>496</v>
      </c>
      <c r="AS171">
        <v>3</v>
      </c>
      <c r="AT171" t="s">
        <v>497</v>
      </c>
      <c r="AU171" t="s">
        <v>1132</v>
      </c>
      <c r="AV171" t="s">
        <v>498</v>
      </c>
      <c r="AW171" t="s">
        <v>1133</v>
      </c>
      <c r="AX171">
        <v>44.786212310000003</v>
      </c>
      <c r="AY171">
        <v>-68.754702559999998</v>
      </c>
      <c r="AZ171">
        <v>5</v>
      </c>
      <c r="BA171" t="s">
        <v>597</v>
      </c>
      <c r="BB171" t="s">
        <v>501</v>
      </c>
      <c r="BC171">
        <v>2071517</v>
      </c>
      <c r="BD171">
        <v>4</v>
      </c>
      <c r="BE171" t="s">
        <v>502</v>
      </c>
      <c r="BF171" t="s">
        <v>503</v>
      </c>
      <c r="BG171" t="s">
        <v>504</v>
      </c>
      <c r="BH171" t="s">
        <v>505</v>
      </c>
      <c r="BI171">
        <v>85474</v>
      </c>
      <c r="BJ171">
        <v>0</v>
      </c>
    </row>
    <row r="172" spans="1:62" x14ac:dyDescent="0.35">
      <c r="A172" t="s">
        <v>1001</v>
      </c>
      <c r="B172" t="s">
        <v>1134</v>
      </c>
      <c r="C172" s="292">
        <v>43590</v>
      </c>
      <c r="D172" t="s">
        <v>479</v>
      </c>
      <c r="E172" t="s">
        <v>594</v>
      </c>
      <c r="F172" t="s">
        <v>1135</v>
      </c>
      <c r="G172">
        <v>2019</v>
      </c>
      <c r="H172" t="s">
        <v>396</v>
      </c>
      <c r="I172" t="s">
        <v>482</v>
      </c>
      <c r="J172" t="s">
        <v>483</v>
      </c>
      <c r="K172" t="s">
        <v>576</v>
      </c>
      <c r="L172" t="s">
        <v>485</v>
      </c>
      <c r="M172" t="s">
        <v>486</v>
      </c>
      <c r="O172" t="s">
        <v>630</v>
      </c>
      <c r="Q172" t="s">
        <v>488</v>
      </c>
      <c r="T172" t="s">
        <v>1007</v>
      </c>
      <c r="U172" t="s">
        <v>1008</v>
      </c>
      <c r="V172">
        <v>0.70000000000000007</v>
      </c>
      <c r="W172">
        <v>2</v>
      </c>
      <c r="X172">
        <v>12893</v>
      </c>
      <c r="Y172">
        <v>25</v>
      </c>
      <c r="Z172" t="s">
        <v>491</v>
      </c>
      <c r="AA172" t="s">
        <v>491</v>
      </c>
      <c r="AB172" t="s">
        <v>491</v>
      </c>
      <c r="AC172" t="s">
        <v>491</v>
      </c>
      <c r="AD172" t="s">
        <v>492</v>
      </c>
      <c r="AE172" t="s">
        <v>492</v>
      </c>
      <c r="AF172">
        <v>2</v>
      </c>
      <c r="AG172">
        <v>3</v>
      </c>
      <c r="AH172">
        <v>0</v>
      </c>
      <c r="AI172">
        <v>0</v>
      </c>
      <c r="AJ172">
        <v>0</v>
      </c>
      <c r="AK172">
        <v>0</v>
      </c>
      <c r="AL172">
        <v>0</v>
      </c>
      <c r="AM172">
        <v>3</v>
      </c>
      <c r="AN172" t="s">
        <v>493</v>
      </c>
      <c r="AO172" t="s">
        <v>494</v>
      </c>
      <c r="AP172">
        <v>18</v>
      </c>
      <c r="AQ172" t="s">
        <v>396</v>
      </c>
      <c r="AR172" t="s">
        <v>672</v>
      </c>
      <c r="AS172">
        <v>1</v>
      </c>
      <c r="AT172" t="s">
        <v>497</v>
      </c>
      <c r="AU172" t="s">
        <v>1134</v>
      </c>
      <c r="AV172" t="s">
        <v>498</v>
      </c>
      <c r="AW172" t="s">
        <v>1136</v>
      </c>
      <c r="AX172">
        <v>44.794430000000013</v>
      </c>
      <c r="AY172">
        <v>-68.766390000000001</v>
      </c>
      <c r="AZ172">
        <v>5</v>
      </c>
      <c r="BA172" t="s">
        <v>597</v>
      </c>
      <c r="BB172" t="s">
        <v>501</v>
      </c>
      <c r="BC172">
        <v>3111000</v>
      </c>
      <c r="BD172">
        <v>4</v>
      </c>
      <c r="BE172" t="s">
        <v>502</v>
      </c>
      <c r="BF172" t="s">
        <v>503</v>
      </c>
      <c r="BG172" t="s">
        <v>504</v>
      </c>
      <c r="BH172" t="s">
        <v>560</v>
      </c>
      <c r="BI172">
        <v>85508</v>
      </c>
      <c r="BJ172">
        <v>0.06</v>
      </c>
    </row>
    <row r="173" spans="1:62" x14ac:dyDescent="0.35">
      <c r="A173" t="s">
        <v>1001</v>
      </c>
      <c r="B173" t="s">
        <v>1137</v>
      </c>
      <c r="C173" s="292">
        <v>43564</v>
      </c>
      <c r="D173" t="s">
        <v>479</v>
      </c>
      <c r="E173" t="s">
        <v>541</v>
      </c>
      <c r="F173" t="s">
        <v>1138</v>
      </c>
      <c r="G173">
        <v>2019</v>
      </c>
      <c r="H173" t="s">
        <v>396</v>
      </c>
      <c r="I173" t="s">
        <v>482</v>
      </c>
      <c r="J173" t="s">
        <v>510</v>
      </c>
      <c r="K173" t="s">
        <v>484</v>
      </c>
      <c r="L173" t="s">
        <v>590</v>
      </c>
      <c r="M173" t="s">
        <v>590</v>
      </c>
      <c r="N173" t="s">
        <v>487</v>
      </c>
      <c r="O173" t="s">
        <v>511</v>
      </c>
      <c r="Q173" t="s">
        <v>488</v>
      </c>
      <c r="S173">
        <v>39685</v>
      </c>
      <c r="T173" t="s">
        <v>1003</v>
      </c>
      <c r="U173" t="s">
        <v>1004</v>
      </c>
      <c r="V173">
        <v>39.08</v>
      </c>
      <c r="W173">
        <v>1</v>
      </c>
      <c r="X173">
        <v>23788.5</v>
      </c>
      <c r="Z173" t="s">
        <v>491</v>
      </c>
      <c r="AA173" t="s">
        <v>491</v>
      </c>
      <c r="AB173" t="s">
        <v>491</v>
      </c>
      <c r="AC173" t="s">
        <v>491</v>
      </c>
      <c r="AD173" t="s">
        <v>492</v>
      </c>
      <c r="AE173" t="s">
        <v>492</v>
      </c>
      <c r="AF173">
        <v>2</v>
      </c>
      <c r="AG173">
        <v>3</v>
      </c>
      <c r="AH173">
        <v>0</v>
      </c>
      <c r="AI173">
        <v>0</v>
      </c>
      <c r="AJ173">
        <v>0</v>
      </c>
      <c r="AK173">
        <v>0</v>
      </c>
      <c r="AL173">
        <v>0</v>
      </c>
      <c r="AM173">
        <v>3</v>
      </c>
      <c r="AN173" t="s">
        <v>493</v>
      </c>
      <c r="AO173" t="s">
        <v>494</v>
      </c>
      <c r="AP173">
        <v>18</v>
      </c>
      <c r="AQ173" t="s">
        <v>495</v>
      </c>
      <c r="AR173" t="s">
        <v>496</v>
      </c>
      <c r="AS173">
        <v>3</v>
      </c>
      <c r="AT173" t="s">
        <v>497</v>
      </c>
      <c r="AU173" t="s">
        <v>1137</v>
      </c>
      <c r="AV173" t="s">
        <v>498</v>
      </c>
      <c r="AW173" t="s">
        <v>1139</v>
      </c>
      <c r="AX173">
        <v>44.794701119999999</v>
      </c>
      <c r="AY173">
        <v>-68.766163859999992</v>
      </c>
      <c r="AZ173">
        <v>4</v>
      </c>
      <c r="BA173" t="s">
        <v>606</v>
      </c>
      <c r="BB173" t="s">
        <v>501</v>
      </c>
      <c r="BC173">
        <v>3111001</v>
      </c>
      <c r="BD173">
        <v>4</v>
      </c>
      <c r="BE173" t="s">
        <v>502</v>
      </c>
      <c r="BF173" t="s">
        <v>503</v>
      </c>
      <c r="BG173" t="s">
        <v>504</v>
      </c>
      <c r="BH173" t="s">
        <v>505</v>
      </c>
      <c r="BI173">
        <v>86335</v>
      </c>
      <c r="BJ173">
        <v>0</v>
      </c>
    </row>
    <row r="174" spans="1:62" x14ac:dyDescent="0.35">
      <c r="A174" t="s">
        <v>1001</v>
      </c>
      <c r="B174" t="s">
        <v>1140</v>
      </c>
      <c r="C174" s="292">
        <v>43765</v>
      </c>
      <c r="D174" t="s">
        <v>479</v>
      </c>
      <c r="E174" t="s">
        <v>594</v>
      </c>
      <c r="F174" t="s">
        <v>1141</v>
      </c>
      <c r="G174">
        <v>2019</v>
      </c>
      <c r="H174" t="s">
        <v>396</v>
      </c>
      <c r="I174" t="s">
        <v>482</v>
      </c>
      <c r="J174" t="s">
        <v>510</v>
      </c>
      <c r="K174" t="s">
        <v>576</v>
      </c>
      <c r="L174" t="s">
        <v>485</v>
      </c>
      <c r="M174" t="s">
        <v>563</v>
      </c>
      <c r="O174" t="s">
        <v>488</v>
      </c>
      <c r="Q174" t="s">
        <v>496</v>
      </c>
      <c r="T174" t="s">
        <v>1003</v>
      </c>
      <c r="U174" t="s">
        <v>1004</v>
      </c>
      <c r="V174">
        <v>39.65</v>
      </c>
      <c r="W174">
        <v>1</v>
      </c>
      <c r="X174">
        <v>8755</v>
      </c>
      <c r="Y174">
        <v>25</v>
      </c>
      <c r="Z174" t="s">
        <v>491</v>
      </c>
      <c r="AA174" t="s">
        <v>491</v>
      </c>
      <c r="AB174" t="s">
        <v>491</v>
      </c>
      <c r="AC174" t="s">
        <v>491</v>
      </c>
      <c r="AD174" t="s">
        <v>492</v>
      </c>
      <c r="AE174" t="s">
        <v>492</v>
      </c>
      <c r="AF174">
        <v>2</v>
      </c>
      <c r="AG174">
        <v>2</v>
      </c>
      <c r="AH174">
        <v>0</v>
      </c>
      <c r="AI174">
        <v>0</v>
      </c>
      <c r="AJ174">
        <v>0</v>
      </c>
      <c r="AK174">
        <v>0</v>
      </c>
      <c r="AL174">
        <v>0</v>
      </c>
      <c r="AM174">
        <v>2</v>
      </c>
      <c r="AN174" t="s">
        <v>493</v>
      </c>
      <c r="AO174" t="s">
        <v>494</v>
      </c>
      <c r="AP174">
        <v>10</v>
      </c>
      <c r="AQ174" t="s">
        <v>396</v>
      </c>
      <c r="AR174" t="s">
        <v>558</v>
      </c>
      <c r="AS174">
        <v>1</v>
      </c>
      <c r="AT174" t="s">
        <v>497</v>
      </c>
      <c r="AU174" t="s">
        <v>1140</v>
      </c>
      <c r="AV174" t="s">
        <v>498</v>
      </c>
      <c r="AW174" t="s">
        <v>1142</v>
      </c>
      <c r="AX174">
        <v>44.788964890000003</v>
      </c>
      <c r="AY174">
        <v>-68.758096519999995</v>
      </c>
      <c r="AZ174">
        <v>10</v>
      </c>
      <c r="BA174" t="s">
        <v>548</v>
      </c>
      <c r="BB174" t="s">
        <v>501</v>
      </c>
      <c r="BC174">
        <v>3132133</v>
      </c>
      <c r="BD174">
        <v>4</v>
      </c>
      <c r="BE174" t="s">
        <v>502</v>
      </c>
      <c r="BF174" t="s">
        <v>503</v>
      </c>
      <c r="BG174" t="s">
        <v>504</v>
      </c>
      <c r="BH174" t="s">
        <v>560</v>
      </c>
      <c r="BI174">
        <v>87458</v>
      </c>
      <c r="BJ174">
        <v>7.0000000000000007E-2</v>
      </c>
    </row>
    <row r="175" spans="1:62" x14ac:dyDescent="0.35">
      <c r="A175" t="s">
        <v>1001</v>
      </c>
      <c r="B175" t="s">
        <v>1143</v>
      </c>
      <c r="C175" s="292">
        <v>44405</v>
      </c>
      <c r="D175" t="s">
        <v>479</v>
      </c>
      <c r="E175" t="s">
        <v>574</v>
      </c>
      <c r="F175" t="s">
        <v>1144</v>
      </c>
      <c r="G175">
        <v>2021</v>
      </c>
      <c r="H175" t="s">
        <v>396</v>
      </c>
      <c r="I175" t="s">
        <v>482</v>
      </c>
      <c r="J175" t="s">
        <v>510</v>
      </c>
      <c r="K175" t="s">
        <v>556</v>
      </c>
      <c r="L175" t="s">
        <v>485</v>
      </c>
      <c r="M175" t="s">
        <v>486</v>
      </c>
      <c r="N175" t="s">
        <v>487</v>
      </c>
      <c r="O175" t="s">
        <v>511</v>
      </c>
      <c r="Q175" t="s">
        <v>488</v>
      </c>
      <c r="T175" t="s">
        <v>1003</v>
      </c>
      <c r="U175" t="s">
        <v>1004</v>
      </c>
      <c r="V175">
        <v>39.1</v>
      </c>
      <c r="W175">
        <v>1</v>
      </c>
      <c r="X175">
        <v>8494</v>
      </c>
      <c r="Y175">
        <v>25</v>
      </c>
      <c r="Z175" t="s">
        <v>491</v>
      </c>
      <c r="AA175" t="s">
        <v>491</v>
      </c>
      <c r="AB175" t="s">
        <v>491</v>
      </c>
      <c r="AC175" t="s">
        <v>491</v>
      </c>
      <c r="AD175" t="s">
        <v>492</v>
      </c>
      <c r="AE175" t="s">
        <v>492</v>
      </c>
      <c r="AF175">
        <v>2</v>
      </c>
      <c r="AG175">
        <v>5</v>
      </c>
      <c r="AH175">
        <v>1</v>
      </c>
      <c r="AI175">
        <v>0</v>
      </c>
      <c r="AJ175">
        <v>0</v>
      </c>
      <c r="AK175">
        <v>0</v>
      </c>
      <c r="AL175">
        <v>1</v>
      </c>
      <c r="AM175">
        <v>4</v>
      </c>
      <c r="AN175" t="s">
        <v>519</v>
      </c>
      <c r="AO175" t="s">
        <v>494</v>
      </c>
      <c r="AP175">
        <v>11</v>
      </c>
      <c r="AQ175" t="s">
        <v>495</v>
      </c>
      <c r="AR175" t="s">
        <v>558</v>
      </c>
      <c r="AS175">
        <v>4</v>
      </c>
      <c r="AT175" t="s">
        <v>497</v>
      </c>
      <c r="AU175" t="s">
        <v>1143</v>
      </c>
      <c r="AV175" t="s">
        <v>498</v>
      </c>
      <c r="AW175" t="s">
        <v>1145</v>
      </c>
      <c r="AX175">
        <v>44.794545249999999</v>
      </c>
      <c r="AY175">
        <v>-68.765828959999993</v>
      </c>
      <c r="AZ175">
        <v>7</v>
      </c>
      <c r="BA175" t="s">
        <v>500</v>
      </c>
      <c r="BB175" t="s">
        <v>501</v>
      </c>
      <c r="BC175">
        <v>3119550</v>
      </c>
      <c r="BD175">
        <v>4</v>
      </c>
      <c r="BE175" t="s">
        <v>502</v>
      </c>
      <c r="BF175" t="s">
        <v>503</v>
      </c>
      <c r="BG175" t="s">
        <v>504</v>
      </c>
      <c r="BH175" t="s">
        <v>560</v>
      </c>
      <c r="BI175">
        <v>88794</v>
      </c>
      <c r="BJ175">
        <v>0.02</v>
      </c>
    </row>
    <row r="176" spans="1:62" x14ac:dyDescent="0.35">
      <c r="A176" t="s">
        <v>1001</v>
      </c>
      <c r="B176" t="s">
        <v>1146</v>
      </c>
      <c r="C176" s="292">
        <v>44591</v>
      </c>
      <c r="D176" t="s">
        <v>479</v>
      </c>
      <c r="E176" t="s">
        <v>594</v>
      </c>
      <c r="F176" t="s">
        <v>1147</v>
      </c>
      <c r="G176">
        <v>2022</v>
      </c>
      <c r="H176" t="s">
        <v>724</v>
      </c>
      <c r="I176" t="s">
        <v>482</v>
      </c>
      <c r="J176" t="s">
        <v>483</v>
      </c>
      <c r="K176" t="s">
        <v>525</v>
      </c>
      <c r="L176" t="s">
        <v>590</v>
      </c>
      <c r="M176" t="s">
        <v>486</v>
      </c>
      <c r="N176" t="s">
        <v>487</v>
      </c>
      <c r="O176" t="s">
        <v>553</v>
      </c>
      <c r="Q176" t="s">
        <v>488</v>
      </c>
      <c r="S176">
        <v>39771</v>
      </c>
      <c r="T176" t="s">
        <v>1003</v>
      </c>
      <c r="U176" t="s">
        <v>1004</v>
      </c>
      <c r="V176">
        <v>39.26</v>
      </c>
      <c r="W176">
        <v>1</v>
      </c>
      <c r="X176">
        <v>8864</v>
      </c>
      <c r="Z176" t="s">
        <v>491</v>
      </c>
      <c r="AA176" t="s">
        <v>491</v>
      </c>
      <c r="AB176" t="s">
        <v>491</v>
      </c>
      <c r="AC176" t="s">
        <v>491</v>
      </c>
      <c r="AD176" t="s">
        <v>492</v>
      </c>
      <c r="AE176" t="s">
        <v>492</v>
      </c>
      <c r="AF176">
        <v>2</v>
      </c>
      <c r="AG176">
        <v>3</v>
      </c>
      <c r="AH176">
        <v>0</v>
      </c>
      <c r="AI176">
        <v>0</v>
      </c>
      <c r="AJ176">
        <v>0</v>
      </c>
      <c r="AK176">
        <v>0</v>
      </c>
      <c r="AL176">
        <v>0</v>
      </c>
      <c r="AM176">
        <v>3</v>
      </c>
      <c r="AN176" t="s">
        <v>493</v>
      </c>
      <c r="AO176" t="s">
        <v>494</v>
      </c>
      <c r="AP176">
        <v>10</v>
      </c>
      <c r="AQ176" t="s">
        <v>795</v>
      </c>
      <c r="AR176" t="s">
        <v>496</v>
      </c>
      <c r="AS176">
        <v>1</v>
      </c>
      <c r="AT176" t="s">
        <v>497</v>
      </c>
      <c r="AU176" t="s">
        <v>1148</v>
      </c>
      <c r="AV176" t="s">
        <v>498</v>
      </c>
      <c r="AW176" t="s">
        <v>1149</v>
      </c>
      <c r="AX176">
        <v>44.7932104</v>
      </c>
      <c r="AY176">
        <v>-68.763276059999995</v>
      </c>
      <c r="AZ176">
        <v>1</v>
      </c>
      <c r="BA176" t="s">
        <v>514</v>
      </c>
      <c r="BB176" t="s">
        <v>501</v>
      </c>
      <c r="BC176">
        <v>220183</v>
      </c>
      <c r="BD176">
        <v>4</v>
      </c>
      <c r="BE176" t="s">
        <v>502</v>
      </c>
      <c r="BF176" t="s">
        <v>503</v>
      </c>
      <c r="BG176" t="s">
        <v>504</v>
      </c>
      <c r="BH176" t="s">
        <v>505</v>
      </c>
      <c r="BI176">
        <v>89993</v>
      </c>
      <c r="BJ176">
        <v>0</v>
      </c>
    </row>
    <row r="177" spans="1:62" x14ac:dyDescent="0.35">
      <c r="A177" t="s">
        <v>1001</v>
      </c>
      <c r="B177" t="s">
        <v>1150</v>
      </c>
      <c r="C177" s="292">
        <v>45686</v>
      </c>
      <c r="D177" t="s">
        <v>479</v>
      </c>
      <c r="E177" t="s">
        <v>574</v>
      </c>
      <c r="F177" t="s">
        <v>701</v>
      </c>
      <c r="G177">
        <v>2025</v>
      </c>
      <c r="H177" t="s">
        <v>724</v>
      </c>
      <c r="I177" t="s">
        <v>532</v>
      </c>
      <c r="J177" t="s">
        <v>483</v>
      </c>
      <c r="K177" t="s">
        <v>484</v>
      </c>
      <c r="L177" t="s">
        <v>590</v>
      </c>
      <c r="M177" t="s">
        <v>486</v>
      </c>
      <c r="N177" t="s">
        <v>487</v>
      </c>
      <c r="O177" t="s">
        <v>553</v>
      </c>
      <c r="Q177" t="s">
        <v>488</v>
      </c>
      <c r="S177">
        <v>39685</v>
      </c>
      <c r="T177" t="s">
        <v>1003</v>
      </c>
      <c r="U177" t="s">
        <v>1004</v>
      </c>
      <c r="V177">
        <v>39.08</v>
      </c>
      <c r="W177">
        <v>1</v>
      </c>
      <c r="X177">
        <v>23788.5</v>
      </c>
      <c r="Z177" t="s">
        <v>491</v>
      </c>
      <c r="AA177" t="s">
        <v>491</v>
      </c>
      <c r="AC177" t="s">
        <v>491</v>
      </c>
      <c r="AD177" t="s">
        <v>492</v>
      </c>
      <c r="AE177" t="s">
        <v>492</v>
      </c>
      <c r="AF177">
        <v>2</v>
      </c>
      <c r="AG177">
        <v>3</v>
      </c>
      <c r="AH177">
        <v>0</v>
      </c>
      <c r="AI177">
        <v>0</v>
      </c>
      <c r="AJ177">
        <v>0</v>
      </c>
      <c r="AK177">
        <v>0</v>
      </c>
      <c r="AL177">
        <v>0</v>
      </c>
      <c r="AM177">
        <v>3</v>
      </c>
      <c r="AN177" t="s">
        <v>493</v>
      </c>
      <c r="AO177" t="s">
        <v>494</v>
      </c>
      <c r="AP177">
        <v>17</v>
      </c>
      <c r="AQ177" t="s">
        <v>495</v>
      </c>
      <c r="AR177" t="s">
        <v>496</v>
      </c>
      <c r="AS177">
        <v>4</v>
      </c>
      <c r="AT177" t="s">
        <v>497</v>
      </c>
      <c r="AU177" t="s">
        <v>1151</v>
      </c>
      <c r="AV177" t="s">
        <v>498</v>
      </c>
      <c r="AW177" t="s">
        <v>1152</v>
      </c>
      <c r="AX177">
        <v>44.794701119999999</v>
      </c>
      <c r="AY177">
        <v>-68.766163859999992</v>
      </c>
      <c r="AZ177">
        <v>1</v>
      </c>
      <c r="BA177" t="s">
        <v>514</v>
      </c>
      <c r="BB177" t="s">
        <v>501</v>
      </c>
      <c r="BC177">
        <v>3111001</v>
      </c>
      <c r="BD177">
        <v>4</v>
      </c>
      <c r="BE177" t="s">
        <v>502</v>
      </c>
      <c r="BF177" t="s">
        <v>503</v>
      </c>
      <c r="BG177" t="s">
        <v>504</v>
      </c>
      <c r="BH177" t="s">
        <v>505</v>
      </c>
      <c r="BI177">
        <v>96462</v>
      </c>
      <c r="BJ177">
        <v>0</v>
      </c>
    </row>
    <row r="178" spans="1:62" x14ac:dyDescent="0.35">
      <c r="A178" t="s">
        <v>1001</v>
      </c>
      <c r="B178" t="s">
        <v>1153</v>
      </c>
      <c r="C178" s="292">
        <v>45720</v>
      </c>
      <c r="D178" t="s">
        <v>479</v>
      </c>
      <c r="E178" t="s">
        <v>480</v>
      </c>
      <c r="F178" t="s">
        <v>1154</v>
      </c>
      <c r="G178">
        <v>2025</v>
      </c>
      <c r="H178" t="s">
        <v>396</v>
      </c>
      <c r="I178" t="s">
        <v>482</v>
      </c>
      <c r="J178" t="s">
        <v>510</v>
      </c>
      <c r="K178" t="s">
        <v>525</v>
      </c>
      <c r="L178" t="s">
        <v>485</v>
      </c>
      <c r="M178" t="s">
        <v>486</v>
      </c>
      <c r="N178" t="s">
        <v>487</v>
      </c>
      <c r="Q178" t="s">
        <v>488</v>
      </c>
      <c r="S178">
        <v>38309</v>
      </c>
      <c r="T178" t="s">
        <v>1003</v>
      </c>
      <c r="U178" t="s">
        <v>1004</v>
      </c>
      <c r="V178">
        <v>39.840000000000003</v>
      </c>
      <c r="W178">
        <v>1</v>
      </c>
      <c r="X178">
        <v>9913.5</v>
      </c>
      <c r="Z178" t="s">
        <v>491</v>
      </c>
      <c r="AA178" t="s">
        <v>491</v>
      </c>
      <c r="AC178" t="s">
        <v>491</v>
      </c>
      <c r="AD178" t="s">
        <v>492</v>
      </c>
      <c r="AE178" t="s">
        <v>492</v>
      </c>
      <c r="AF178">
        <v>2</v>
      </c>
      <c r="AG178">
        <v>1</v>
      </c>
      <c r="AH178">
        <v>0</v>
      </c>
      <c r="AI178">
        <v>0</v>
      </c>
      <c r="AJ178">
        <v>0</v>
      </c>
      <c r="AK178">
        <v>0</v>
      </c>
      <c r="AL178">
        <v>0</v>
      </c>
      <c r="AM178">
        <v>1</v>
      </c>
      <c r="AN178" t="s">
        <v>493</v>
      </c>
      <c r="AO178" t="s">
        <v>494</v>
      </c>
      <c r="AP178">
        <v>12</v>
      </c>
      <c r="AQ178" t="s">
        <v>495</v>
      </c>
      <c r="AR178" t="s">
        <v>496</v>
      </c>
      <c r="AS178">
        <v>3</v>
      </c>
      <c r="AT178" t="s">
        <v>497</v>
      </c>
      <c r="AU178" t="s">
        <v>1155</v>
      </c>
      <c r="AV178" t="s">
        <v>498</v>
      </c>
      <c r="AW178" t="s">
        <v>1156</v>
      </c>
      <c r="AX178">
        <v>44.786902750000003</v>
      </c>
      <c r="AY178">
        <v>-68.75555507</v>
      </c>
      <c r="AZ178">
        <v>3</v>
      </c>
      <c r="BA178" t="s">
        <v>622</v>
      </c>
      <c r="BB178" t="s">
        <v>501</v>
      </c>
      <c r="BC178">
        <v>3115152</v>
      </c>
      <c r="BD178">
        <v>4</v>
      </c>
      <c r="BE178" t="s">
        <v>502</v>
      </c>
      <c r="BF178" t="s">
        <v>503</v>
      </c>
      <c r="BG178" t="s">
        <v>504</v>
      </c>
      <c r="BH178" t="s">
        <v>505</v>
      </c>
      <c r="BI178">
        <v>98467</v>
      </c>
      <c r="BJ178">
        <v>0</v>
      </c>
    </row>
    <row r="179" spans="1:62" x14ac:dyDescent="0.35">
      <c r="A179" t="s">
        <v>1001</v>
      </c>
      <c r="B179" t="s">
        <v>1157</v>
      </c>
      <c r="C179" s="292">
        <v>45260</v>
      </c>
      <c r="D179" t="s">
        <v>479</v>
      </c>
      <c r="E179" t="s">
        <v>801</v>
      </c>
      <c r="F179" t="s">
        <v>1036</v>
      </c>
      <c r="G179">
        <v>2023</v>
      </c>
      <c r="H179" t="s">
        <v>396</v>
      </c>
      <c r="I179" t="s">
        <v>509</v>
      </c>
      <c r="J179" t="s">
        <v>1092</v>
      </c>
      <c r="K179" t="s">
        <v>484</v>
      </c>
      <c r="L179" t="s">
        <v>485</v>
      </c>
      <c r="M179" t="s">
        <v>486</v>
      </c>
      <c r="N179" t="s">
        <v>487</v>
      </c>
      <c r="O179" t="s">
        <v>985</v>
      </c>
      <c r="Q179" t="s">
        <v>488</v>
      </c>
      <c r="S179">
        <v>39685</v>
      </c>
      <c r="T179" t="s">
        <v>1003</v>
      </c>
      <c r="U179" t="s">
        <v>1004</v>
      </c>
      <c r="V179">
        <v>39.08</v>
      </c>
      <c r="W179">
        <v>1</v>
      </c>
      <c r="X179">
        <v>23788.5</v>
      </c>
      <c r="Z179" t="s">
        <v>491</v>
      </c>
      <c r="AA179" t="s">
        <v>491</v>
      </c>
      <c r="AC179" t="s">
        <v>491</v>
      </c>
      <c r="AD179" t="s">
        <v>492</v>
      </c>
      <c r="AE179" t="s">
        <v>492</v>
      </c>
      <c r="AF179">
        <v>2</v>
      </c>
      <c r="AG179">
        <v>2</v>
      </c>
      <c r="AH179">
        <v>0</v>
      </c>
      <c r="AI179">
        <v>0</v>
      </c>
      <c r="AJ179">
        <v>0</v>
      </c>
      <c r="AK179">
        <v>0</v>
      </c>
      <c r="AL179">
        <v>0</v>
      </c>
      <c r="AM179">
        <v>2</v>
      </c>
      <c r="AN179" t="s">
        <v>493</v>
      </c>
      <c r="AO179" t="s">
        <v>494</v>
      </c>
      <c r="AP179">
        <v>17</v>
      </c>
      <c r="AQ179" t="s">
        <v>495</v>
      </c>
      <c r="AR179" t="s">
        <v>496</v>
      </c>
      <c r="AS179">
        <v>5</v>
      </c>
      <c r="AT179" t="s">
        <v>497</v>
      </c>
      <c r="AU179" t="s">
        <v>1157</v>
      </c>
      <c r="AV179" t="s">
        <v>498</v>
      </c>
      <c r="AW179" t="s">
        <v>1158</v>
      </c>
      <c r="AX179">
        <v>44.794701119999999</v>
      </c>
      <c r="AY179">
        <v>-68.766163859999992</v>
      </c>
      <c r="AZ179">
        <v>11</v>
      </c>
      <c r="BA179" t="s">
        <v>551</v>
      </c>
      <c r="BB179" t="s">
        <v>501</v>
      </c>
      <c r="BC179">
        <v>3111001</v>
      </c>
      <c r="BD179">
        <v>4</v>
      </c>
      <c r="BE179" t="s">
        <v>502</v>
      </c>
      <c r="BF179" t="s">
        <v>503</v>
      </c>
      <c r="BG179" t="s">
        <v>504</v>
      </c>
      <c r="BH179" t="s">
        <v>505</v>
      </c>
      <c r="BI179">
        <v>101053</v>
      </c>
      <c r="BJ179">
        <v>0</v>
      </c>
    </row>
    <row r="180" spans="1:62" x14ac:dyDescent="0.35">
      <c r="A180" t="s">
        <v>1001</v>
      </c>
      <c r="B180" t="s">
        <v>1159</v>
      </c>
      <c r="C180" s="292">
        <v>45763</v>
      </c>
      <c r="D180" t="s">
        <v>479</v>
      </c>
      <c r="E180" t="s">
        <v>574</v>
      </c>
      <c r="F180" t="s">
        <v>1160</v>
      </c>
      <c r="G180">
        <v>2025</v>
      </c>
      <c r="H180" t="s">
        <v>396</v>
      </c>
      <c r="I180" t="s">
        <v>482</v>
      </c>
      <c r="J180" t="s">
        <v>510</v>
      </c>
      <c r="K180" t="s">
        <v>484</v>
      </c>
      <c r="L180" t="s">
        <v>485</v>
      </c>
      <c r="M180" t="s">
        <v>563</v>
      </c>
      <c r="N180" t="s">
        <v>487</v>
      </c>
      <c r="O180" t="s">
        <v>511</v>
      </c>
      <c r="Q180" t="s">
        <v>488</v>
      </c>
      <c r="S180">
        <v>39685</v>
      </c>
      <c r="T180" t="s">
        <v>1003</v>
      </c>
      <c r="U180" t="s">
        <v>1004</v>
      </c>
      <c r="V180">
        <v>39.08</v>
      </c>
      <c r="W180">
        <v>1</v>
      </c>
      <c r="X180">
        <v>23788.5</v>
      </c>
      <c r="Z180" t="s">
        <v>491</v>
      </c>
      <c r="AA180" t="s">
        <v>491</v>
      </c>
      <c r="AC180" t="s">
        <v>491</v>
      </c>
      <c r="AD180" t="s">
        <v>492</v>
      </c>
      <c r="AE180" t="s">
        <v>492</v>
      </c>
      <c r="AF180">
        <v>2</v>
      </c>
      <c r="AG180">
        <v>2</v>
      </c>
      <c r="AH180">
        <v>0</v>
      </c>
      <c r="AI180">
        <v>0</v>
      </c>
      <c r="AJ180">
        <v>0</v>
      </c>
      <c r="AK180">
        <v>0</v>
      </c>
      <c r="AL180">
        <v>0</v>
      </c>
      <c r="AM180">
        <v>2</v>
      </c>
      <c r="AN180" t="s">
        <v>493</v>
      </c>
      <c r="AO180" t="s">
        <v>494</v>
      </c>
      <c r="AP180">
        <v>15</v>
      </c>
      <c r="AQ180" t="s">
        <v>495</v>
      </c>
      <c r="AR180" t="s">
        <v>496</v>
      </c>
      <c r="AS180">
        <v>4</v>
      </c>
      <c r="AT180" t="s">
        <v>497</v>
      </c>
      <c r="AU180" t="s">
        <v>1159</v>
      </c>
      <c r="AV180" t="s">
        <v>498</v>
      </c>
      <c r="AW180" t="s">
        <v>1161</v>
      </c>
      <c r="AX180">
        <v>44.794701119999999</v>
      </c>
      <c r="AY180">
        <v>-68.766163859999992</v>
      </c>
      <c r="AZ180">
        <v>4</v>
      </c>
      <c r="BA180" t="s">
        <v>606</v>
      </c>
      <c r="BB180" t="s">
        <v>501</v>
      </c>
      <c r="BC180">
        <v>3111001</v>
      </c>
      <c r="BD180">
        <v>4</v>
      </c>
      <c r="BE180" t="s">
        <v>502</v>
      </c>
      <c r="BF180" t="s">
        <v>503</v>
      </c>
      <c r="BG180" t="s">
        <v>504</v>
      </c>
      <c r="BH180" t="s">
        <v>505</v>
      </c>
      <c r="BI180">
        <v>102260</v>
      </c>
      <c r="BJ180">
        <v>0</v>
      </c>
    </row>
    <row r="181" spans="1:62" x14ac:dyDescent="0.35">
      <c r="A181" t="s">
        <v>1001</v>
      </c>
      <c r="B181" t="s">
        <v>1162</v>
      </c>
      <c r="C181" s="292">
        <v>45739</v>
      </c>
      <c r="D181" t="s">
        <v>479</v>
      </c>
      <c r="E181" t="s">
        <v>715</v>
      </c>
      <c r="F181" t="s">
        <v>1163</v>
      </c>
      <c r="G181">
        <v>2025</v>
      </c>
      <c r="H181" t="s">
        <v>396</v>
      </c>
      <c r="I181" t="s">
        <v>482</v>
      </c>
      <c r="J181" t="s">
        <v>510</v>
      </c>
      <c r="K181" t="s">
        <v>576</v>
      </c>
      <c r="L181" t="s">
        <v>485</v>
      </c>
      <c r="M181" t="s">
        <v>486</v>
      </c>
      <c r="N181" t="s">
        <v>487</v>
      </c>
      <c r="O181" t="s">
        <v>613</v>
      </c>
      <c r="Q181" t="s">
        <v>488</v>
      </c>
      <c r="T181" t="s">
        <v>1007</v>
      </c>
      <c r="U181" t="s">
        <v>1008</v>
      </c>
      <c r="V181">
        <v>0.70000000000000007</v>
      </c>
      <c r="W181">
        <v>2</v>
      </c>
      <c r="X181">
        <v>12893</v>
      </c>
      <c r="Y181">
        <v>25</v>
      </c>
      <c r="Z181" t="s">
        <v>491</v>
      </c>
      <c r="AA181" t="s">
        <v>491</v>
      </c>
      <c r="AC181" t="s">
        <v>491</v>
      </c>
      <c r="AD181" t="s">
        <v>492</v>
      </c>
      <c r="AE181" t="s">
        <v>492</v>
      </c>
      <c r="AF181">
        <v>2</v>
      </c>
      <c r="AG181">
        <v>2</v>
      </c>
      <c r="AH181">
        <v>0</v>
      </c>
      <c r="AI181">
        <v>0</v>
      </c>
      <c r="AJ181">
        <v>0</v>
      </c>
      <c r="AK181">
        <v>0</v>
      </c>
      <c r="AL181">
        <v>0</v>
      </c>
      <c r="AM181">
        <v>2</v>
      </c>
      <c r="AN181" t="s">
        <v>493</v>
      </c>
      <c r="AO181" t="s">
        <v>494</v>
      </c>
      <c r="AP181">
        <v>12</v>
      </c>
      <c r="AQ181" t="s">
        <v>495</v>
      </c>
      <c r="AR181" t="s">
        <v>672</v>
      </c>
      <c r="AS181">
        <v>1</v>
      </c>
      <c r="AT181" t="s">
        <v>497</v>
      </c>
      <c r="AU181" t="s">
        <v>1164</v>
      </c>
      <c r="AV181" t="s">
        <v>498</v>
      </c>
      <c r="AW181" t="s">
        <v>1165</v>
      </c>
      <c r="AX181">
        <v>44.794392270000003</v>
      </c>
      <c r="AY181">
        <v>-68.766409800000005</v>
      </c>
      <c r="AZ181">
        <v>3</v>
      </c>
      <c r="BA181" t="s">
        <v>622</v>
      </c>
      <c r="BB181" t="s">
        <v>501</v>
      </c>
      <c r="BC181">
        <v>3111000</v>
      </c>
      <c r="BD181">
        <v>4</v>
      </c>
      <c r="BE181" t="s">
        <v>502</v>
      </c>
      <c r="BF181" t="s">
        <v>503</v>
      </c>
      <c r="BG181" t="s">
        <v>504</v>
      </c>
      <c r="BH181" t="s">
        <v>560</v>
      </c>
      <c r="BI181">
        <v>103451</v>
      </c>
      <c r="BJ181">
        <v>0.06</v>
      </c>
    </row>
    <row r="182" spans="1:62" x14ac:dyDescent="0.35">
      <c r="A182" t="s">
        <v>1001</v>
      </c>
      <c r="B182" t="s">
        <v>1166</v>
      </c>
      <c r="C182" s="292">
        <v>44005</v>
      </c>
      <c r="D182" t="s">
        <v>479</v>
      </c>
      <c r="E182" t="s">
        <v>541</v>
      </c>
      <c r="F182" t="s">
        <v>1167</v>
      </c>
      <c r="G182">
        <v>2020</v>
      </c>
      <c r="H182" t="s">
        <v>396</v>
      </c>
      <c r="I182" t="s">
        <v>482</v>
      </c>
      <c r="J182" t="s">
        <v>629</v>
      </c>
      <c r="K182" t="s">
        <v>556</v>
      </c>
      <c r="L182" t="s">
        <v>485</v>
      </c>
      <c r="M182" t="s">
        <v>486</v>
      </c>
      <c r="N182" t="s">
        <v>496</v>
      </c>
      <c r="O182" t="s">
        <v>1168</v>
      </c>
      <c r="P182" t="s">
        <v>496</v>
      </c>
      <c r="T182" t="s">
        <v>1007</v>
      </c>
      <c r="U182" t="s">
        <v>1008</v>
      </c>
      <c r="V182">
        <v>0.70000000000000007</v>
      </c>
      <c r="W182">
        <v>2</v>
      </c>
      <c r="X182">
        <v>12893</v>
      </c>
      <c r="Y182">
        <v>25</v>
      </c>
      <c r="Z182" t="s">
        <v>491</v>
      </c>
      <c r="AA182" t="s">
        <v>491</v>
      </c>
      <c r="AB182" t="s">
        <v>491</v>
      </c>
      <c r="AC182" t="s">
        <v>491</v>
      </c>
      <c r="AD182" t="s">
        <v>492</v>
      </c>
      <c r="AE182" t="s">
        <v>492</v>
      </c>
      <c r="AF182">
        <v>1</v>
      </c>
      <c r="AG182">
        <v>1</v>
      </c>
      <c r="AH182">
        <v>0</v>
      </c>
      <c r="AI182">
        <v>0</v>
      </c>
      <c r="AJ182">
        <v>0</v>
      </c>
      <c r="AK182">
        <v>0</v>
      </c>
      <c r="AL182">
        <v>0</v>
      </c>
      <c r="AM182">
        <v>1</v>
      </c>
      <c r="AN182" t="s">
        <v>493</v>
      </c>
      <c r="AO182" t="s">
        <v>494</v>
      </c>
      <c r="AP182">
        <v>10</v>
      </c>
      <c r="AQ182" t="s">
        <v>645</v>
      </c>
      <c r="AR182" t="s">
        <v>672</v>
      </c>
      <c r="AS182">
        <v>3</v>
      </c>
      <c r="AT182" t="s">
        <v>497</v>
      </c>
      <c r="AU182" t="s">
        <v>1166</v>
      </c>
      <c r="AV182" t="s">
        <v>498</v>
      </c>
      <c r="AW182" t="s">
        <v>1169</v>
      </c>
      <c r="AX182">
        <v>44.794449999999998</v>
      </c>
      <c r="AY182">
        <v>-68.766369999999995</v>
      </c>
      <c r="AZ182">
        <v>6</v>
      </c>
      <c r="BA182" t="s">
        <v>544</v>
      </c>
      <c r="BB182" t="s">
        <v>501</v>
      </c>
      <c r="BC182">
        <v>3111000</v>
      </c>
      <c r="BD182">
        <v>4</v>
      </c>
      <c r="BE182" t="s">
        <v>502</v>
      </c>
      <c r="BF182" t="s">
        <v>503</v>
      </c>
      <c r="BG182" t="s">
        <v>504</v>
      </c>
      <c r="BH182" t="s">
        <v>560</v>
      </c>
      <c r="BI182">
        <v>103961</v>
      </c>
      <c r="BJ182">
        <v>0.06</v>
      </c>
    </row>
    <row r="183" spans="1:62" x14ac:dyDescent="0.35">
      <c r="A183" t="s">
        <v>1001</v>
      </c>
      <c r="B183" t="s">
        <v>1170</v>
      </c>
      <c r="C183" s="292">
        <v>44307</v>
      </c>
      <c r="D183" t="s">
        <v>479</v>
      </c>
      <c r="E183" t="s">
        <v>574</v>
      </c>
      <c r="F183" t="s">
        <v>905</v>
      </c>
      <c r="G183">
        <v>2021</v>
      </c>
      <c r="H183" t="s">
        <v>396</v>
      </c>
      <c r="I183" t="s">
        <v>482</v>
      </c>
      <c r="J183" t="s">
        <v>510</v>
      </c>
      <c r="K183" t="s">
        <v>484</v>
      </c>
      <c r="L183" t="s">
        <v>526</v>
      </c>
      <c r="M183" t="s">
        <v>563</v>
      </c>
      <c r="N183" t="s">
        <v>487</v>
      </c>
      <c r="O183" t="s">
        <v>511</v>
      </c>
      <c r="P183" t="s">
        <v>488</v>
      </c>
      <c r="Q183" t="s">
        <v>488</v>
      </c>
      <c r="S183">
        <v>39685</v>
      </c>
      <c r="T183" t="s">
        <v>1003</v>
      </c>
      <c r="U183" t="s">
        <v>1004</v>
      </c>
      <c r="V183">
        <v>39.08</v>
      </c>
      <c r="W183">
        <v>1</v>
      </c>
      <c r="X183">
        <v>23788.5</v>
      </c>
      <c r="Z183" t="s">
        <v>491</v>
      </c>
      <c r="AA183" t="s">
        <v>491</v>
      </c>
      <c r="AB183" t="s">
        <v>491</v>
      </c>
      <c r="AC183" t="s">
        <v>491</v>
      </c>
      <c r="AD183" t="s">
        <v>492</v>
      </c>
      <c r="AE183" t="s">
        <v>492</v>
      </c>
      <c r="AF183">
        <v>2</v>
      </c>
      <c r="AG183">
        <v>2</v>
      </c>
      <c r="AH183">
        <v>0</v>
      </c>
      <c r="AI183">
        <v>0</v>
      </c>
      <c r="AJ183">
        <v>0</v>
      </c>
      <c r="AK183">
        <v>0</v>
      </c>
      <c r="AL183">
        <v>0</v>
      </c>
      <c r="AM183">
        <v>2</v>
      </c>
      <c r="AN183" t="s">
        <v>493</v>
      </c>
      <c r="AO183" t="s">
        <v>494</v>
      </c>
      <c r="AP183">
        <v>16</v>
      </c>
      <c r="AQ183" t="s">
        <v>495</v>
      </c>
      <c r="AR183" t="s">
        <v>496</v>
      </c>
      <c r="AS183">
        <v>4</v>
      </c>
      <c r="AT183" t="s">
        <v>497</v>
      </c>
      <c r="AU183" t="s">
        <v>1171</v>
      </c>
      <c r="AV183" t="s">
        <v>498</v>
      </c>
      <c r="AW183" t="s">
        <v>1172</v>
      </c>
      <c r="AX183">
        <v>44.794701119999999</v>
      </c>
      <c r="AY183">
        <v>-68.766163859999992</v>
      </c>
      <c r="AZ183">
        <v>4</v>
      </c>
      <c r="BA183" t="s">
        <v>606</v>
      </c>
      <c r="BB183" t="s">
        <v>501</v>
      </c>
      <c r="BC183">
        <v>3111001</v>
      </c>
      <c r="BD183">
        <v>4</v>
      </c>
      <c r="BE183" t="s">
        <v>502</v>
      </c>
      <c r="BF183" t="s">
        <v>503</v>
      </c>
      <c r="BG183" t="s">
        <v>504</v>
      </c>
      <c r="BH183" t="s">
        <v>505</v>
      </c>
      <c r="BI183">
        <v>104201</v>
      </c>
      <c r="BJ183">
        <v>0</v>
      </c>
    </row>
    <row r="184" spans="1:62" x14ac:dyDescent="0.35">
      <c r="A184" t="s">
        <v>1001</v>
      </c>
      <c r="B184" t="s">
        <v>1173</v>
      </c>
      <c r="C184" s="292">
        <v>44166</v>
      </c>
      <c r="D184" t="s">
        <v>479</v>
      </c>
      <c r="E184" t="s">
        <v>541</v>
      </c>
      <c r="F184" t="s">
        <v>974</v>
      </c>
      <c r="G184">
        <v>2020</v>
      </c>
      <c r="H184" t="s">
        <v>396</v>
      </c>
      <c r="I184" t="s">
        <v>482</v>
      </c>
      <c r="J184" t="s">
        <v>483</v>
      </c>
      <c r="K184" t="s">
        <v>525</v>
      </c>
      <c r="L184" t="s">
        <v>526</v>
      </c>
      <c r="M184" t="s">
        <v>665</v>
      </c>
      <c r="O184" t="s">
        <v>564</v>
      </c>
      <c r="Q184" t="s">
        <v>488</v>
      </c>
      <c r="S184">
        <v>39767</v>
      </c>
      <c r="T184" t="s">
        <v>1003</v>
      </c>
      <c r="U184" t="s">
        <v>1004</v>
      </c>
      <c r="V184">
        <v>39.58</v>
      </c>
      <c r="W184">
        <v>1</v>
      </c>
      <c r="X184">
        <v>9501</v>
      </c>
      <c r="Z184" t="s">
        <v>491</v>
      </c>
      <c r="AA184" t="s">
        <v>491</v>
      </c>
      <c r="AB184" t="s">
        <v>491</v>
      </c>
      <c r="AC184" t="s">
        <v>491</v>
      </c>
      <c r="AD184" t="s">
        <v>492</v>
      </c>
      <c r="AE184" t="s">
        <v>492</v>
      </c>
      <c r="AF184">
        <v>2</v>
      </c>
      <c r="AG184">
        <v>2</v>
      </c>
      <c r="AH184">
        <v>0</v>
      </c>
      <c r="AI184">
        <v>0</v>
      </c>
      <c r="AJ184">
        <v>0</v>
      </c>
      <c r="AK184">
        <v>0</v>
      </c>
      <c r="AL184">
        <v>0</v>
      </c>
      <c r="AM184">
        <v>2</v>
      </c>
      <c r="AN184" t="s">
        <v>493</v>
      </c>
      <c r="AO184" t="s">
        <v>494</v>
      </c>
      <c r="AP184">
        <v>14</v>
      </c>
      <c r="AQ184" t="s">
        <v>396</v>
      </c>
      <c r="AR184" t="s">
        <v>496</v>
      </c>
      <c r="AS184">
        <v>3</v>
      </c>
      <c r="AT184" t="s">
        <v>497</v>
      </c>
      <c r="AU184" t="s">
        <v>1173</v>
      </c>
      <c r="AV184" t="s">
        <v>498</v>
      </c>
      <c r="AW184" t="s">
        <v>1174</v>
      </c>
      <c r="AX184">
        <v>44.789710600000006</v>
      </c>
      <c r="AY184">
        <v>-68.759029319999996</v>
      </c>
      <c r="AZ184">
        <v>12</v>
      </c>
      <c r="BA184" t="s">
        <v>534</v>
      </c>
      <c r="BB184" t="s">
        <v>501</v>
      </c>
      <c r="BC184">
        <v>3124231</v>
      </c>
      <c r="BD184">
        <v>4</v>
      </c>
      <c r="BE184" t="s">
        <v>502</v>
      </c>
      <c r="BF184" t="s">
        <v>503</v>
      </c>
      <c r="BG184" t="s">
        <v>504</v>
      </c>
      <c r="BH184" t="s">
        <v>505</v>
      </c>
      <c r="BI184">
        <v>106296</v>
      </c>
      <c r="BJ184">
        <v>0</v>
      </c>
    </row>
    <row r="185" spans="1:62" x14ac:dyDescent="0.35">
      <c r="A185" t="s">
        <v>1001</v>
      </c>
      <c r="B185" t="s">
        <v>1175</v>
      </c>
      <c r="C185" s="292">
        <v>45705</v>
      </c>
      <c r="D185" t="s">
        <v>479</v>
      </c>
      <c r="E185" t="s">
        <v>536</v>
      </c>
      <c r="F185" t="s">
        <v>1176</v>
      </c>
      <c r="G185">
        <v>2025</v>
      </c>
      <c r="H185" t="s">
        <v>396</v>
      </c>
      <c r="I185" t="s">
        <v>482</v>
      </c>
      <c r="J185" t="s">
        <v>510</v>
      </c>
      <c r="K185" t="s">
        <v>556</v>
      </c>
      <c r="L185" t="s">
        <v>848</v>
      </c>
      <c r="M185" t="s">
        <v>486</v>
      </c>
      <c r="O185" t="s">
        <v>564</v>
      </c>
      <c r="Q185" t="s">
        <v>488</v>
      </c>
      <c r="T185" t="s">
        <v>1003</v>
      </c>
      <c r="U185" t="s">
        <v>1004</v>
      </c>
      <c r="V185">
        <v>39.92</v>
      </c>
      <c r="W185">
        <v>1</v>
      </c>
      <c r="X185">
        <v>9125</v>
      </c>
      <c r="Y185">
        <v>25</v>
      </c>
      <c r="Z185" t="s">
        <v>491</v>
      </c>
      <c r="AA185" t="s">
        <v>491</v>
      </c>
      <c r="AC185" t="s">
        <v>491</v>
      </c>
      <c r="AD185" t="s">
        <v>492</v>
      </c>
      <c r="AE185" t="s">
        <v>492</v>
      </c>
      <c r="AF185">
        <v>2</v>
      </c>
      <c r="AG185">
        <v>4</v>
      </c>
      <c r="AH185">
        <v>0</v>
      </c>
      <c r="AI185">
        <v>0</v>
      </c>
      <c r="AJ185">
        <v>0</v>
      </c>
      <c r="AK185">
        <v>0</v>
      </c>
      <c r="AL185">
        <v>0</v>
      </c>
      <c r="AM185">
        <v>4</v>
      </c>
      <c r="AN185" t="s">
        <v>493</v>
      </c>
      <c r="AO185" t="s">
        <v>494</v>
      </c>
      <c r="AP185">
        <v>16</v>
      </c>
      <c r="AQ185" t="s">
        <v>396</v>
      </c>
      <c r="AR185" t="s">
        <v>558</v>
      </c>
      <c r="AS185">
        <v>2</v>
      </c>
      <c r="AT185" t="s">
        <v>497</v>
      </c>
      <c r="AU185" t="s">
        <v>1177</v>
      </c>
      <c r="AV185" t="s">
        <v>498</v>
      </c>
      <c r="AW185" t="s">
        <v>1178</v>
      </c>
      <c r="AX185">
        <v>44.78598934</v>
      </c>
      <c r="AY185">
        <v>-68.754443430000009</v>
      </c>
      <c r="AZ185">
        <v>2</v>
      </c>
      <c r="BA185" t="s">
        <v>675</v>
      </c>
      <c r="BB185" t="s">
        <v>501</v>
      </c>
      <c r="BC185">
        <v>2071517</v>
      </c>
      <c r="BD185">
        <v>4</v>
      </c>
      <c r="BE185" t="s">
        <v>502</v>
      </c>
      <c r="BF185" t="s">
        <v>503</v>
      </c>
      <c r="BG185" t="s">
        <v>504</v>
      </c>
      <c r="BH185" t="s">
        <v>560</v>
      </c>
      <c r="BI185">
        <v>109722</v>
      </c>
      <c r="BJ185">
        <v>0.02</v>
      </c>
    </row>
    <row r="186" spans="1:62" x14ac:dyDescent="0.35">
      <c r="A186" t="s">
        <v>1001</v>
      </c>
      <c r="B186" t="s">
        <v>1179</v>
      </c>
      <c r="C186" s="292">
        <v>43656</v>
      </c>
      <c r="D186" t="s">
        <v>479</v>
      </c>
      <c r="E186" t="s">
        <v>574</v>
      </c>
      <c r="F186" t="s">
        <v>1180</v>
      </c>
      <c r="G186">
        <v>2019</v>
      </c>
      <c r="H186" t="s">
        <v>396</v>
      </c>
      <c r="I186" t="s">
        <v>482</v>
      </c>
      <c r="J186" t="s">
        <v>415</v>
      </c>
      <c r="K186" t="s">
        <v>556</v>
      </c>
      <c r="L186" t="s">
        <v>485</v>
      </c>
      <c r="M186" t="s">
        <v>486</v>
      </c>
      <c r="O186" t="s">
        <v>488</v>
      </c>
      <c r="T186" t="s">
        <v>1003</v>
      </c>
      <c r="U186" t="s">
        <v>1004</v>
      </c>
      <c r="V186">
        <v>39.56</v>
      </c>
      <c r="W186">
        <v>1</v>
      </c>
      <c r="X186">
        <v>8594</v>
      </c>
      <c r="Y186">
        <v>25</v>
      </c>
      <c r="Z186" t="s">
        <v>646</v>
      </c>
      <c r="AA186" t="s">
        <v>491</v>
      </c>
      <c r="AB186" t="s">
        <v>491</v>
      </c>
      <c r="AC186" t="s">
        <v>491</v>
      </c>
      <c r="AD186" t="s">
        <v>492</v>
      </c>
      <c r="AE186" t="s">
        <v>492</v>
      </c>
      <c r="AF186">
        <v>2</v>
      </c>
      <c r="AG186">
        <v>2</v>
      </c>
      <c r="AH186">
        <v>1</v>
      </c>
      <c r="AI186">
        <v>0</v>
      </c>
      <c r="AJ186">
        <v>0</v>
      </c>
      <c r="AK186">
        <v>1</v>
      </c>
      <c r="AL186">
        <v>0</v>
      </c>
      <c r="AM186">
        <v>1</v>
      </c>
      <c r="AN186" t="s">
        <v>685</v>
      </c>
      <c r="AO186" t="s">
        <v>494</v>
      </c>
      <c r="AP186">
        <v>9</v>
      </c>
      <c r="AQ186" t="s">
        <v>396</v>
      </c>
      <c r="AR186" t="s">
        <v>558</v>
      </c>
      <c r="AS186">
        <v>4</v>
      </c>
      <c r="AT186" t="s">
        <v>497</v>
      </c>
      <c r="AU186" t="s">
        <v>1179</v>
      </c>
      <c r="AV186" t="s">
        <v>498</v>
      </c>
      <c r="AW186" t="s">
        <v>1181</v>
      </c>
      <c r="AX186">
        <v>44.789930000000012</v>
      </c>
      <c r="AY186">
        <v>-68.759299999999996</v>
      </c>
      <c r="AZ186">
        <v>7</v>
      </c>
      <c r="BA186" t="s">
        <v>500</v>
      </c>
      <c r="BB186" t="s">
        <v>501</v>
      </c>
      <c r="BC186">
        <v>3124231</v>
      </c>
      <c r="BD186">
        <v>4</v>
      </c>
      <c r="BE186" t="s">
        <v>502</v>
      </c>
      <c r="BF186" t="s">
        <v>503</v>
      </c>
      <c r="BG186" t="s">
        <v>504</v>
      </c>
      <c r="BH186" t="s">
        <v>560</v>
      </c>
      <c r="BI186">
        <v>110386</v>
      </c>
      <c r="BJ186">
        <v>0.02</v>
      </c>
    </row>
    <row r="187" spans="1:62" x14ac:dyDescent="0.35">
      <c r="A187" t="s">
        <v>1001</v>
      </c>
      <c r="B187" t="s">
        <v>1182</v>
      </c>
      <c r="C187" s="292">
        <v>46049</v>
      </c>
      <c r="D187" t="s">
        <v>479</v>
      </c>
      <c r="E187" t="s">
        <v>480</v>
      </c>
      <c r="F187" t="s">
        <v>910</v>
      </c>
      <c r="G187">
        <v>2026</v>
      </c>
      <c r="H187" t="s">
        <v>724</v>
      </c>
      <c r="I187" t="s">
        <v>509</v>
      </c>
      <c r="J187" t="s">
        <v>483</v>
      </c>
      <c r="K187" t="s">
        <v>525</v>
      </c>
      <c r="L187" t="s">
        <v>590</v>
      </c>
      <c r="M187" t="s">
        <v>563</v>
      </c>
      <c r="O187" t="s">
        <v>630</v>
      </c>
      <c r="Q187" t="s">
        <v>488</v>
      </c>
      <c r="S187">
        <v>39772</v>
      </c>
      <c r="T187" t="s">
        <v>1003</v>
      </c>
      <c r="U187" t="s">
        <v>1004</v>
      </c>
      <c r="V187">
        <v>39.229999999999997</v>
      </c>
      <c r="W187">
        <v>1</v>
      </c>
      <c r="X187">
        <v>8605.5</v>
      </c>
      <c r="Z187" t="s">
        <v>491</v>
      </c>
      <c r="AA187" t="s">
        <v>491</v>
      </c>
      <c r="AC187" t="s">
        <v>491</v>
      </c>
      <c r="AD187" t="s">
        <v>492</v>
      </c>
      <c r="AE187" t="s">
        <v>492</v>
      </c>
      <c r="AF187">
        <v>2</v>
      </c>
      <c r="AG187">
        <v>2</v>
      </c>
      <c r="AH187">
        <v>0</v>
      </c>
      <c r="AI187">
        <v>0</v>
      </c>
      <c r="AJ187">
        <v>0</v>
      </c>
      <c r="AK187">
        <v>0</v>
      </c>
      <c r="AL187">
        <v>0</v>
      </c>
      <c r="AM187">
        <v>2</v>
      </c>
      <c r="AN187" t="s">
        <v>493</v>
      </c>
      <c r="AO187" t="s">
        <v>494</v>
      </c>
      <c r="AP187">
        <v>16</v>
      </c>
      <c r="AQ187" t="s">
        <v>396</v>
      </c>
      <c r="AR187" t="s">
        <v>496</v>
      </c>
      <c r="AS187">
        <v>3</v>
      </c>
      <c r="AT187" t="s">
        <v>497</v>
      </c>
      <c r="AU187" t="s">
        <v>1183</v>
      </c>
      <c r="AV187" t="s">
        <v>498</v>
      </c>
      <c r="AW187" t="s">
        <v>1184</v>
      </c>
      <c r="AX187">
        <v>44.79353708</v>
      </c>
      <c r="AY187">
        <v>-68.76367071</v>
      </c>
      <c r="AZ187">
        <v>1</v>
      </c>
      <c r="BA187" t="s">
        <v>514</v>
      </c>
      <c r="BB187" t="s">
        <v>501</v>
      </c>
      <c r="BC187">
        <v>220183</v>
      </c>
      <c r="BD187">
        <v>4</v>
      </c>
      <c r="BE187" t="s">
        <v>502</v>
      </c>
      <c r="BF187" t="s">
        <v>503</v>
      </c>
      <c r="BG187" t="s">
        <v>504</v>
      </c>
      <c r="BH187" t="s">
        <v>505</v>
      </c>
      <c r="BI187">
        <v>113222</v>
      </c>
      <c r="BJ187">
        <v>0.03</v>
      </c>
    </row>
    <row r="188" spans="1:62" x14ac:dyDescent="0.35">
      <c r="A188" t="s">
        <v>1001</v>
      </c>
      <c r="B188" t="s">
        <v>1185</v>
      </c>
      <c r="C188" s="292">
        <v>43175</v>
      </c>
      <c r="D188" t="s">
        <v>479</v>
      </c>
      <c r="E188" t="s">
        <v>549</v>
      </c>
      <c r="F188" t="s">
        <v>1186</v>
      </c>
      <c r="G188">
        <v>2018</v>
      </c>
      <c r="H188" t="s">
        <v>396</v>
      </c>
      <c r="I188" t="s">
        <v>482</v>
      </c>
      <c r="J188" t="s">
        <v>510</v>
      </c>
      <c r="K188" t="s">
        <v>556</v>
      </c>
      <c r="L188" t="s">
        <v>485</v>
      </c>
      <c r="M188" t="s">
        <v>486</v>
      </c>
      <c r="O188" t="s">
        <v>511</v>
      </c>
      <c r="P188" t="s">
        <v>488</v>
      </c>
      <c r="Q188" t="s">
        <v>488</v>
      </c>
      <c r="T188" t="s">
        <v>1003</v>
      </c>
      <c r="U188" t="s">
        <v>1004</v>
      </c>
      <c r="V188">
        <v>39.86</v>
      </c>
      <c r="W188">
        <v>1</v>
      </c>
      <c r="X188">
        <v>9113</v>
      </c>
      <c r="Y188">
        <v>25</v>
      </c>
      <c r="Z188" t="s">
        <v>491</v>
      </c>
      <c r="AA188" t="s">
        <v>491</v>
      </c>
      <c r="AB188" t="s">
        <v>491</v>
      </c>
      <c r="AC188" t="s">
        <v>491</v>
      </c>
      <c r="AD188" t="s">
        <v>492</v>
      </c>
      <c r="AE188" t="s">
        <v>492</v>
      </c>
      <c r="AF188">
        <v>2</v>
      </c>
      <c r="AG188">
        <v>4</v>
      </c>
      <c r="AH188">
        <v>1</v>
      </c>
      <c r="AI188">
        <v>0</v>
      </c>
      <c r="AJ188">
        <v>0</v>
      </c>
      <c r="AK188">
        <v>0</v>
      </c>
      <c r="AL188">
        <v>1</v>
      </c>
      <c r="AM188">
        <v>3</v>
      </c>
      <c r="AN188" t="s">
        <v>519</v>
      </c>
      <c r="AO188" t="s">
        <v>494</v>
      </c>
      <c r="AP188">
        <v>11</v>
      </c>
      <c r="AQ188" t="s">
        <v>396</v>
      </c>
      <c r="AR188" t="s">
        <v>558</v>
      </c>
      <c r="AS188">
        <v>6</v>
      </c>
      <c r="AT188" t="s">
        <v>497</v>
      </c>
      <c r="AU188" t="s">
        <v>1187</v>
      </c>
      <c r="AV188" t="s">
        <v>498</v>
      </c>
      <c r="AW188" t="s">
        <v>1188</v>
      </c>
      <c r="AX188">
        <v>44.786670030000003</v>
      </c>
      <c r="AY188">
        <v>-68.755267619999998</v>
      </c>
      <c r="AZ188">
        <v>3</v>
      </c>
      <c r="BA188" t="s">
        <v>622</v>
      </c>
      <c r="BB188" t="s">
        <v>501</v>
      </c>
      <c r="BC188">
        <v>3129631</v>
      </c>
      <c r="BD188">
        <v>4</v>
      </c>
      <c r="BE188" t="s">
        <v>502</v>
      </c>
      <c r="BF188" t="s">
        <v>503</v>
      </c>
      <c r="BG188" t="s">
        <v>504</v>
      </c>
      <c r="BH188" t="s">
        <v>560</v>
      </c>
      <c r="BI188">
        <v>114028</v>
      </c>
      <c r="BJ188">
        <v>0.02</v>
      </c>
    </row>
    <row r="189" spans="1:62" x14ac:dyDescent="0.35">
      <c r="A189" t="s">
        <v>1001</v>
      </c>
      <c r="B189" t="s">
        <v>1189</v>
      </c>
      <c r="C189" s="292">
        <v>45030</v>
      </c>
      <c r="D189" t="s">
        <v>479</v>
      </c>
      <c r="E189" t="s">
        <v>549</v>
      </c>
      <c r="F189" t="s">
        <v>1190</v>
      </c>
      <c r="G189">
        <v>2023</v>
      </c>
      <c r="H189" t="s">
        <v>396</v>
      </c>
      <c r="I189" t="s">
        <v>482</v>
      </c>
      <c r="J189" t="s">
        <v>510</v>
      </c>
      <c r="K189" t="s">
        <v>484</v>
      </c>
      <c r="L189" t="s">
        <v>485</v>
      </c>
      <c r="M189" t="s">
        <v>486</v>
      </c>
      <c r="N189" t="s">
        <v>487</v>
      </c>
      <c r="O189" t="s">
        <v>511</v>
      </c>
      <c r="Q189" t="s">
        <v>488</v>
      </c>
      <c r="S189">
        <v>39685</v>
      </c>
      <c r="T189" t="s">
        <v>1003</v>
      </c>
      <c r="U189" t="s">
        <v>1004</v>
      </c>
      <c r="V189">
        <v>39.08</v>
      </c>
      <c r="W189">
        <v>1</v>
      </c>
      <c r="X189">
        <v>23788.5</v>
      </c>
      <c r="Z189" t="s">
        <v>491</v>
      </c>
      <c r="AA189" t="s">
        <v>491</v>
      </c>
      <c r="AC189" t="s">
        <v>491</v>
      </c>
      <c r="AD189" t="s">
        <v>492</v>
      </c>
      <c r="AE189" t="s">
        <v>492</v>
      </c>
      <c r="AF189">
        <v>2</v>
      </c>
      <c r="AG189">
        <v>2</v>
      </c>
      <c r="AH189">
        <v>0</v>
      </c>
      <c r="AI189">
        <v>0</v>
      </c>
      <c r="AJ189">
        <v>0</v>
      </c>
      <c r="AK189">
        <v>0</v>
      </c>
      <c r="AL189">
        <v>0</v>
      </c>
      <c r="AM189">
        <v>2</v>
      </c>
      <c r="AN189" t="s">
        <v>493</v>
      </c>
      <c r="AO189" t="s">
        <v>494</v>
      </c>
      <c r="AP189">
        <v>16</v>
      </c>
      <c r="AQ189" t="s">
        <v>495</v>
      </c>
      <c r="AR189" t="s">
        <v>496</v>
      </c>
      <c r="AS189">
        <v>6</v>
      </c>
      <c r="AT189" t="s">
        <v>497</v>
      </c>
      <c r="AU189" t="s">
        <v>1189</v>
      </c>
      <c r="AV189" t="s">
        <v>498</v>
      </c>
      <c r="AW189" t="s">
        <v>1191</v>
      </c>
      <c r="AX189">
        <v>44.794701119999999</v>
      </c>
      <c r="AY189">
        <v>-68.766163859999992</v>
      </c>
      <c r="AZ189">
        <v>4</v>
      </c>
      <c r="BA189" t="s">
        <v>606</v>
      </c>
      <c r="BB189" t="s">
        <v>501</v>
      </c>
      <c r="BC189">
        <v>3111001</v>
      </c>
      <c r="BD189">
        <v>4</v>
      </c>
      <c r="BE189" t="s">
        <v>502</v>
      </c>
      <c r="BF189" t="s">
        <v>503</v>
      </c>
      <c r="BG189" t="s">
        <v>504</v>
      </c>
      <c r="BH189" t="s">
        <v>505</v>
      </c>
      <c r="BI189">
        <v>116302</v>
      </c>
      <c r="BJ189">
        <v>0</v>
      </c>
    </row>
    <row r="190" spans="1:62" x14ac:dyDescent="0.35">
      <c r="A190" t="s">
        <v>1001</v>
      </c>
      <c r="B190" t="s">
        <v>1192</v>
      </c>
      <c r="C190" s="292">
        <v>45819</v>
      </c>
      <c r="D190" t="s">
        <v>479</v>
      </c>
      <c r="E190" t="s">
        <v>574</v>
      </c>
      <c r="F190" t="s">
        <v>1193</v>
      </c>
      <c r="G190">
        <v>2025</v>
      </c>
      <c r="H190" t="s">
        <v>396</v>
      </c>
      <c r="I190" t="s">
        <v>482</v>
      </c>
      <c r="J190" t="s">
        <v>483</v>
      </c>
      <c r="K190" t="s">
        <v>576</v>
      </c>
      <c r="L190" t="s">
        <v>485</v>
      </c>
      <c r="M190" t="s">
        <v>486</v>
      </c>
      <c r="O190" t="s">
        <v>488</v>
      </c>
      <c r="Q190" t="s">
        <v>488</v>
      </c>
      <c r="T190" t="s">
        <v>1003</v>
      </c>
      <c r="U190" t="s">
        <v>1004</v>
      </c>
      <c r="V190">
        <v>39.67</v>
      </c>
      <c r="W190">
        <v>1</v>
      </c>
      <c r="X190">
        <v>8755</v>
      </c>
      <c r="Y190">
        <v>25</v>
      </c>
      <c r="Z190" t="s">
        <v>491</v>
      </c>
      <c r="AA190" t="s">
        <v>491</v>
      </c>
      <c r="AC190" t="s">
        <v>491</v>
      </c>
      <c r="AD190" t="s">
        <v>492</v>
      </c>
      <c r="AE190" t="s">
        <v>492</v>
      </c>
      <c r="AF190">
        <v>2</v>
      </c>
      <c r="AG190">
        <v>2</v>
      </c>
      <c r="AH190">
        <v>0</v>
      </c>
      <c r="AI190">
        <v>0</v>
      </c>
      <c r="AJ190">
        <v>0</v>
      </c>
      <c r="AK190">
        <v>0</v>
      </c>
      <c r="AL190">
        <v>0</v>
      </c>
      <c r="AM190">
        <v>2</v>
      </c>
      <c r="AN190" t="s">
        <v>493</v>
      </c>
      <c r="AO190" t="s">
        <v>494</v>
      </c>
      <c r="AP190">
        <v>9</v>
      </c>
      <c r="AQ190" t="s">
        <v>396</v>
      </c>
      <c r="AR190" t="s">
        <v>558</v>
      </c>
      <c r="AS190">
        <v>4</v>
      </c>
      <c r="AT190" t="s">
        <v>497</v>
      </c>
      <c r="AU190" t="s">
        <v>1192</v>
      </c>
      <c r="AV190" t="s">
        <v>498</v>
      </c>
      <c r="AW190" t="s">
        <v>1194</v>
      </c>
      <c r="AX190">
        <v>44.78872535</v>
      </c>
      <c r="AY190">
        <v>-68.757809800000004</v>
      </c>
      <c r="AZ190">
        <v>6</v>
      </c>
      <c r="BA190" t="s">
        <v>544</v>
      </c>
      <c r="BB190" t="s">
        <v>501</v>
      </c>
      <c r="BC190">
        <v>3132133</v>
      </c>
      <c r="BD190">
        <v>4</v>
      </c>
      <c r="BE190" t="s">
        <v>502</v>
      </c>
      <c r="BF190" t="s">
        <v>503</v>
      </c>
      <c r="BG190" t="s">
        <v>504</v>
      </c>
      <c r="BH190" t="s">
        <v>560</v>
      </c>
      <c r="BI190">
        <v>118804</v>
      </c>
      <c r="BJ190">
        <v>0.05</v>
      </c>
    </row>
    <row r="191" spans="1:62" x14ac:dyDescent="0.35">
      <c r="A191" t="s">
        <v>1001</v>
      </c>
      <c r="B191" t="s">
        <v>1195</v>
      </c>
      <c r="C191" s="292">
        <v>44622</v>
      </c>
      <c r="D191" t="s">
        <v>479</v>
      </c>
      <c r="E191" t="s">
        <v>574</v>
      </c>
      <c r="F191" t="s">
        <v>616</v>
      </c>
      <c r="G191">
        <v>2022</v>
      </c>
      <c r="H191" t="s">
        <v>396</v>
      </c>
      <c r="I191" t="s">
        <v>482</v>
      </c>
      <c r="J191" t="s">
        <v>510</v>
      </c>
      <c r="K191" t="s">
        <v>576</v>
      </c>
      <c r="L191" t="s">
        <v>485</v>
      </c>
      <c r="M191" t="s">
        <v>486</v>
      </c>
      <c r="O191" t="s">
        <v>630</v>
      </c>
      <c r="Q191" t="s">
        <v>488</v>
      </c>
      <c r="T191" t="s">
        <v>1003</v>
      </c>
      <c r="U191" t="s">
        <v>1004</v>
      </c>
      <c r="V191">
        <v>40.01</v>
      </c>
      <c r="W191">
        <v>1</v>
      </c>
      <c r="X191">
        <v>4809</v>
      </c>
      <c r="Y191">
        <v>25</v>
      </c>
      <c r="Z191" t="s">
        <v>491</v>
      </c>
      <c r="AA191" t="s">
        <v>491</v>
      </c>
      <c r="AB191" t="s">
        <v>491</v>
      </c>
      <c r="AC191" t="s">
        <v>491</v>
      </c>
      <c r="AD191" t="s">
        <v>492</v>
      </c>
      <c r="AE191" t="s">
        <v>492</v>
      </c>
      <c r="AF191">
        <v>2</v>
      </c>
      <c r="AG191">
        <v>3</v>
      </c>
      <c r="AH191">
        <v>0</v>
      </c>
      <c r="AI191">
        <v>0</v>
      </c>
      <c r="AJ191">
        <v>0</v>
      </c>
      <c r="AK191">
        <v>0</v>
      </c>
      <c r="AL191">
        <v>0</v>
      </c>
      <c r="AM191">
        <v>3</v>
      </c>
      <c r="AN191" t="s">
        <v>493</v>
      </c>
      <c r="AO191" t="s">
        <v>494</v>
      </c>
      <c r="AP191">
        <v>9</v>
      </c>
      <c r="AQ191" t="s">
        <v>396</v>
      </c>
      <c r="AR191" t="s">
        <v>558</v>
      </c>
      <c r="AS191">
        <v>4</v>
      </c>
      <c r="AT191" t="s">
        <v>497</v>
      </c>
      <c r="AU191" t="s">
        <v>1196</v>
      </c>
      <c r="AV191" t="s">
        <v>498</v>
      </c>
      <c r="AW191" t="s">
        <v>1197</v>
      </c>
      <c r="AX191">
        <v>44.78499952</v>
      </c>
      <c r="AY191">
        <v>-68.753244850000002</v>
      </c>
      <c r="AZ191">
        <v>3</v>
      </c>
      <c r="BA191" t="s">
        <v>622</v>
      </c>
      <c r="BB191" t="s">
        <v>501</v>
      </c>
      <c r="BC191">
        <v>3111057</v>
      </c>
      <c r="BD191">
        <v>4</v>
      </c>
      <c r="BE191" t="s">
        <v>502</v>
      </c>
      <c r="BF191" t="s">
        <v>503</v>
      </c>
      <c r="BG191" t="s">
        <v>504</v>
      </c>
      <c r="BH191" t="s">
        <v>560</v>
      </c>
      <c r="BI191">
        <v>119177</v>
      </c>
      <c r="BJ191">
        <v>0.01</v>
      </c>
    </row>
    <row r="192" spans="1:62" x14ac:dyDescent="0.35">
      <c r="A192" t="s">
        <v>1001</v>
      </c>
      <c r="B192" t="s">
        <v>1198</v>
      </c>
      <c r="C192" s="292">
        <v>43104</v>
      </c>
      <c r="D192" t="s">
        <v>479</v>
      </c>
      <c r="E192" t="s">
        <v>516</v>
      </c>
      <c r="F192" t="s">
        <v>774</v>
      </c>
      <c r="G192">
        <v>2018</v>
      </c>
      <c r="H192" t="s">
        <v>724</v>
      </c>
      <c r="I192" t="s">
        <v>482</v>
      </c>
      <c r="J192" t="s">
        <v>510</v>
      </c>
      <c r="K192" t="s">
        <v>576</v>
      </c>
      <c r="L192" t="s">
        <v>590</v>
      </c>
      <c r="M192" t="s">
        <v>590</v>
      </c>
      <c r="O192" t="s">
        <v>511</v>
      </c>
      <c r="P192" t="s">
        <v>729</v>
      </c>
      <c r="Q192" t="s">
        <v>488</v>
      </c>
      <c r="T192" t="s">
        <v>1003</v>
      </c>
      <c r="U192" t="s">
        <v>1004</v>
      </c>
      <c r="V192">
        <v>39.979999999999997</v>
      </c>
      <c r="W192">
        <v>1</v>
      </c>
      <c r="X192">
        <v>9197</v>
      </c>
      <c r="Y192">
        <v>25</v>
      </c>
      <c r="Z192" t="s">
        <v>491</v>
      </c>
      <c r="AA192" t="s">
        <v>491</v>
      </c>
      <c r="AB192" t="s">
        <v>491</v>
      </c>
      <c r="AC192" t="s">
        <v>491</v>
      </c>
      <c r="AD192" t="s">
        <v>492</v>
      </c>
      <c r="AE192" t="s">
        <v>492</v>
      </c>
      <c r="AF192">
        <v>2</v>
      </c>
      <c r="AG192">
        <v>3</v>
      </c>
      <c r="AH192">
        <v>0</v>
      </c>
      <c r="AI192">
        <v>0</v>
      </c>
      <c r="AJ192">
        <v>0</v>
      </c>
      <c r="AK192">
        <v>0</v>
      </c>
      <c r="AL192">
        <v>0</v>
      </c>
      <c r="AM192">
        <v>3</v>
      </c>
      <c r="AN192" t="s">
        <v>493</v>
      </c>
      <c r="AO192" t="s">
        <v>494</v>
      </c>
      <c r="AP192">
        <v>13</v>
      </c>
      <c r="AQ192" t="s">
        <v>396</v>
      </c>
      <c r="AR192" t="s">
        <v>558</v>
      </c>
      <c r="AS192">
        <v>5</v>
      </c>
      <c r="AT192" t="s">
        <v>497</v>
      </c>
      <c r="AU192" t="s">
        <v>1199</v>
      </c>
      <c r="AV192" t="s">
        <v>498</v>
      </c>
      <c r="AW192" t="s">
        <v>1200</v>
      </c>
      <c r="AX192">
        <v>44.785412620000002</v>
      </c>
      <c r="AY192">
        <v>-68.753774669999999</v>
      </c>
      <c r="AZ192">
        <v>1</v>
      </c>
      <c r="BA192" t="s">
        <v>514</v>
      </c>
      <c r="BB192" t="s">
        <v>501</v>
      </c>
      <c r="BC192">
        <v>3111058</v>
      </c>
      <c r="BD192">
        <v>4</v>
      </c>
      <c r="BE192" t="s">
        <v>502</v>
      </c>
      <c r="BF192" t="s">
        <v>503</v>
      </c>
      <c r="BG192" t="s">
        <v>504</v>
      </c>
      <c r="BH192" t="s">
        <v>560</v>
      </c>
      <c r="BI192">
        <v>120039</v>
      </c>
      <c r="BJ192">
        <v>0.05</v>
      </c>
    </row>
    <row r="193" spans="1:62" x14ac:dyDescent="0.35">
      <c r="A193" t="s">
        <v>1001</v>
      </c>
      <c r="B193" t="s">
        <v>1201</v>
      </c>
      <c r="C193" s="292">
        <v>43546</v>
      </c>
      <c r="D193" t="s">
        <v>479</v>
      </c>
      <c r="E193" t="s">
        <v>549</v>
      </c>
      <c r="F193" t="s">
        <v>562</v>
      </c>
      <c r="G193">
        <v>2019</v>
      </c>
      <c r="H193" t="s">
        <v>396</v>
      </c>
      <c r="I193" t="s">
        <v>482</v>
      </c>
      <c r="J193" t="s">
        <v>510</v>
      </c>
      <c r="K193" t="s">
        <v>484</v>
      </c>
      <c r="L193" t="s">
        <v>526</v>
      </c>
      <c r="M193" t="s">
        <v>665</v>
      </c>
      <c r="N193" t="s">
        <v>487</v>
      </c>
      <c r="O193" t="s">
        <v>488</v>
      </c>
      <c r="Q193" t="s">
        <v>488</v>
      </c>
      <c r="S193">
        <v>39685</v>
      </c>
      <c r="T193" t="s">
        <v>1003</v>
      </c>
      <c r="U193" t="s">
        <v>1004</v>
      </c>
      <c r="V193">
        <v>39.08</v>
      </c>
      <c r="W193">
        <v>1</v>
      </c>
      <c r="X193">
        <v>23788.5</v>
      </c>
      <c r="Z193" t="s">
        <v>491</v>
      </c>
      <c r="AA193" t="s">
        <v>491</v>
      </c>
      <c r="AB193" t="s">
        <v>491</v>
      </c>
      <c r="AC193" t="s">
        <v>491</v>
      </c>
      <c r="AD193" t="s">
        <v>492</v>
      </c>
      <c r="AE193" t="s">
        <v>492</v>
      </c>
      <c r="AF193">
        <v>3</v>
      </c>
      <c r="AG193">
        <v>3</v>
      </c>
      <c r="AH193">
        <v>0</v>
      </c>
      <c r="AI193">
        <v>0</v>
      </c>
      <c r="AJ193">
        <v>0</v>
      </c>
      <c r="AK193">
        <v>0</v>
      </c>
      <c r="AL193">
        <v>0</v>
      </c>
      <c r="AM193">
        <v>3</v>
      </c>
      <c r="AN193" t="s">
        <v>493</v>
      </c>
      <c r="AO193" t="s">
        <v>494</v>
      </c>
      <c r="AP193">
        <v>13</v>
      </c>
      <c r="AQ193" t="s">
        <v>495</v>
      </c>
      <c r="AR193" t="s">
        <v>496</v>
      </c>
      <c r="AS193">
        <v>6</v>
      </c>
      <c r="AT193" t="s">
        <v>497</v>
      </c>
      <c r="AU193" t="s">
        <v>1201</v>
      </c>
      <c r="AV193" t="s">
        <v>498</v>
      </c>
      <c r="AW193" t="s">
        <v>1202</v>
      </c>
      <c r="AX193">
        <v>44.794701119999999</v>
      </c>
      <c r="AY193">
        <v>-68.766163859999992</v>
      </c>
      <c r="AZ193">
        <v>3</v>
      </c>
      <c r="BA193" t="s">
        <v>622</v>
      </c>
      <c r="BB193" t="s">
        <v>501</v>
      </c>
      <c r="BC193">
        <v>3111001</v>
      </c>
      <c r="BD193">
        <v>4</v>
      </c>
      <c r="BE193" t="s">
        <v>502</v>
      </c>
      <c r="BF193" t="s">
        <v>503</v>
      </c>
      <c r="BG193" t="s">
        <v>504</v>
      </c>
      <c r="BH193" t="s">
        <v>505</v>
      </c>
      <c r="BI193">
        <v>121905</v>
      </c>
      <c r="BJ193">
        <v>0</v>
      </c>
    </row>
    <row r="194" spans="1:62" x14ac:dyDescent="0.35">
      <c r="A194" t="s">
        <v>1001</v>
      </c>
      <c r="B194" t="s">
        <v>1203</v>
      </c>
      <c r="C194" s="292">
        <v>43186</v>
      </c>
      <c r="D194" t="s">
        <v>479</v>
      </c>
      <c r="E194" t="s">
        <v>541</v>
      </c>
      <c r="F194" t="s">
        <v>1204</v>
      </c>
      <c r="G194">
        <v>2018</v>
      </c>
      <c r="H194" t="s">
        <v>396</v>
      </c>
      <c r="I194" t="s">
        <v>482</v>
      </c>
      <c r="J194" t="s">
        <v>510</v>
      </c>
      <c r="K194" t="s">
        <v>556</v>
      </c>
      <c r="L194" t="s">
        <v>485</v>
      </c>
      <c r="M194" t="s">
        <v>486</v>
      </c>
      <c r="N194" t="s">
        <v>487</v>
      </c>
      <c r="O194" t="s">
        <v>511</v>
      </c>
      <c r="P194" t="s">
        <v>488</v>
      </c>
      <c r="Q194" t="s">
        <v>488</v>
      </c>
      <c r="T194" t="s">
        <v>1003</v>
      </c>
      <c r="U194" t="s">
        <v>1004</v>
      </c>
      <c r="V194">
        <v>40</v>
      </c>
      <c r="W194">
        <v>1</v>
      </c>
      <c r="X194">
        <v>4809</v>
      </c>
      <c r="Y194">
        <v>25</v>
      </c>
      <c r="Z194" t="s">
        <v>491</v>
      </c>
      <c r="AA194" t="s">
        <v>491</v>
      </c>
      <c r="AB194" t="s">
        <v>491</v>
      </c>
      <c r="AC194" t="s">
        <v>491</v>
      </c>
      <c r="AD194" t="s">
        <v>492</v>
      </c>
      <c r="AE194" t="s">
        <v>492</v>
      </c>
      <c r="AF194">
        <v>2</v>
      </c>
      <c r="AG194">
        <v>2</v>
      </c>
      <c r="AH194">
        <v>0</v>
      </c>
      <c r="AI194">
        <v>0</v>
      </c>
      <c r="AJ194">
        <v>0</v>
      </c>
      <c r="AK194">
        <v>0</v>
      </c>
      <c r="AL194">
        <v>0</v>
      </c>
      <c r="AM194">
        <v>2</v>
      </c>
      <c r="AN194" t="s">
        <v>493</v>
      </c>
      <c r="AO194" t="s">
        <v>494</v>
      </c>
      <c r="AP194">
        <v>11</v>
      </c>
      <c r="AQ194" t="s">
        <v>396</v>
      </c>
      <c r="AR194" t="s">
        <v>558</v>
      </c>
      <c r="AS194">
        <v>3</v>
      </c>
      <c r="AT194" t="s">
        <v>497</v>
      </c>
      <c r="AU194" t="s">
        <v>1205</v>
      </c>
      <c r="AV194" t="s">
        <v>498</v>
      </c>
      <c r="AW194" t="s">
        <v>1206</v>
      </c>
      <c r="AX194">
        <v>44.785091399999999</v>
      </c>
      <c r="AY194">
        <v>-68.753395009999991</v>
      </c>
      <c r="AZ194">
        <v>3</v>
      </c>
      <c r="BA194" t="s">
        <v>622</v>
      </c>
      <c r="BB194" t="s">
        <v>501</v>
      </c>
      <c r="BC194">
        <v>3111057</v>
      </c>
      <c r="BD194">
        <v>4</v>
      </c>
      <c r="BE194" t="s">
        <v>502</v>
      </c>
      <c r="BF194" t="s">
        <v>503</v>
      </c>
      <c r="BG194" t="s">
        <v>504</v>
      </c>
      <c r="BH194" t="s">
        <v>560</v>
      </c>
      <c r="BI194">
        <v>123040</v>
      </c>
      <c r="BJ194">
        <v>0.02</v>
      </c>
    </row>
    <row r="195" spans="1:62" x14ac:dyDescent="0.35">
      <c r="A195" t="s">
        <v>1001</v>
      </c>
      <c r="B195" t="s">
        <v>1207</v>
      </c>
      <c r="C195" s="292">
        <v>45851</v>
      </c>
      <c r="D195" t="s">
        <v>479</v>
      </c>
      <c r="E195" t="s">
        <v>715</v>
      </c>
      <c r="F195" t="s">
        <v>1208</v>
      </c>
      <c r="G195">
        <v>2025</v>
      </c>
      <c r="H195" t="s">
        <v>396</v>
      </c>
      <c r="I195" t="s">
        <v>482</v>
      </c>
      <c r="J195" t="s">
        <v>510</v>
      </c>
      <c r="K195" t="s">
        <v>556</v>
      </c>
      <c r="L195" t="s">
        <v>485</v>
      </c>
      <c r="M195" t="s">
        <v>486</v>
      </c>
      <c r="O195" t="s">
        <v>609</v>
      </c>
      <c r="Q195" t="s">
        <v>488</v>
      </c>
      <c r="T195" t="s">
        <v>1003</v>
      </c>
      <c r="U195" t="s">
        <v>1004</v>
      </c>
      <c r="V195">
        <v>39.65</v>
      </c>
      <c r="W195">
        <v>1</v>
      </c>
      <c r="X195">
        <v>8755</v>
      </c>
      <c r="Y195">
        <v>25</v>
      </c>
      <c r="Z195" t="s">
        <v>491</v>
      </c>
      <c r="AA195" t="s">
        <v>491</v>
      </c>
      <c r="AC195" t="s">
        <v>491</v>
      </c>
      <c r="AD195" t="s">
        <v>492</v>
      </c>
      <c r="AE195" t="s">
        <v>492</v>
      </c>
      <c r="AF195">
        <v>2</v>
      </c>
      <c r="AG195">
        <v>3</v>
      </c>
      <c r="AH195">
        <v>2</v>
      </c>
      <c r="AI195">
        <v>0</v>
      </c>
      <c r="AJ195">
        <v>0</v>
      </c>
      <c r="AK195">
        <v>1</v>
      </c>
      <c r="AL195">
        <v>1</v>
      </c>
      <c r="AM195">
        <v>1</v>
      </c>
      <c r="AN195" t="s">
        <v>685</v>
      </c>
      <c r="AO195" t="s">
        <v>494</v>
      </c>
      <c r="AP195">
        <v>12</v>
      </c>
      <c r="AQ195" t="s">
        <v>396</v>
      </c>
      <c r="AR195" t="s">
        <v>558</v>
      </c>
      <c r="AS195">
        <v>1</v>
      </c>
      <c r="AT195" t="s">
        <v>497</v>
      </c>
      <c r="AU195" t="s">
        <v>1207</v>
      </c>
      <c r="AV195" t="s">
        <v>498</v>
      </c>
      <c r="AW195" t="s">
        <v>1209</v>
      </c>
      <c r="AX195">
        <v>44.788989790000002</v>
      </c>
      <c r="AY195">
        <v>-68.758126329999996</v>
      </c>
      <c r="AZ195">
        <v>7</v>
      </c>
      <c r="BA195" t="s">
        <v>500</v>
      </c>
      <c r="BB195" t="s">
        <v>501</v>
      </c>
      <c r="BC195">
        <v>3132133</v>
      </c>
      <c r="BD195">
        <v>4</v>
      </c>
      <c r="BE195" t="s">
        <v>502</v>
      </c>
      <c r="BF195" t="s">
        <v>503</v>
      </c>
      <c r="BG195" t="s">
        <v>504</v>
      </c>
      <c r="BH195" t="s">
        <v>560</v>
      </c>
      <c r="BI195">
        <v>125067</v>
      </c>
      <c r="BJ195">
        <v>7.0000000000000007E-2</v>
      </c>
    </row>
    <row r="196" spans="1:62" x14ac:dyDescent="0.35">
      <c r="A196" t="s">
        <v>1001</v>
      </c>
      <c r="B196" t="s">
        <v>1210</v>
      </c>
      <c r="C196" s="292">
        <v>45871</v>
      </c>
      <c r="D196" t="s">
        <v>479</v>
      </c>
      <c r="E196" t="s">
        <v>568</v>
      </c>
      <c r="F196" t="s">
        <v>1211</v>
      </c>
      <c r="G196">
        <v>2025</v>
      </c>
      <c r="H196" t="s">
        <v>396</v>
      </c>
      <c r="I196" t="s">
        <v>482</v>
      </c>
      <c r="J196" t="s">
        <v>483</v>
      </c>
      <c r="K196" t="s">
        <v>525</v>
      </c>
      <c r="L196" t="s">
        <v>485</v>
      </c>
      <c r="M196" t="s">
        <v>486</v>
      </c>
      <c r="N196" t="s">
        <v>487</v>
      </c>
      <c r="O196" t="s">
        <v>630</v>
      </c>
      <c r="Q196" t="s">
        <v>488</v>
      </c>
      <c r="S196">
        <v>39766</v>
      </c>
      <c r="T196" t="s">
        <v>1003</v>
      </c>
      <c r="U196" t="s">
        <v>1004</v>
      </c>
      <c r="V196">
        <v>39.6</v>
      </c>
      <c r="W196">
        <v>1</v>
      </c>
      <c r="X196">
        <v>9537.5</v>
      </c>
      <c r="Z196" t="s">
        <v>491</v>
      </c>
      <c r="AA196" t="s">
        <v>491</v>
      </c>
      <c r="AC196" t="s">
        <v>491</v>
      </c>
      <c r="AD196" t="s">
        <v>492</v>
      </c>
      <c r="AE196" t="s">
        <v>492</v>
      </c>
      <c r="AF196">
        <v>3</v>
      </c>
      <c r="AG196">
        <v>4</v>
      </c>
      <c r="AH196">
        <v>2</v>
      </c>
      <c r="AI196">
        <v>0</v>
      </c>
      <c r="AJ196">
        <v>0</v>
      </c>
      <c r="AK196">
        <v>2</v>
      </c>
      <c r="AL196">
        <v>0</v>
      </c>
      <c r="AM196">
        <v>2</v>
      </c>
      <c r="AN196" t="s">
        <v>685</v>
      </c>
      <c r="AO196" t="s">
        <v>494</v>
      </c>
      <c r="AP196">
        <v>10</v>
      </c>
      <c r="AQ196" t="s">
        <v>795</v>
      </c>
      <c r="AR196" t="s">
        <v>496</v>
      </c>
      <c r="AS196">
        <v>7</v>
      </c>
      <c r="AT196" t="s">
        <v>497</v>
      </c>
      <c r="AU196" t="s">
        <v>1210</v>
      </c>
      <c r="AV196" t="s">
        <v>498</v>
      </c>
      <c r="AW196" t="s">
        <v>1212</v>
      </c>
      <c r="AX196">
        <v>44.789548969999998</v>
      </c>
      <c r="AY196">
        <v>-68.758795660000004</v>
      </c>
      <c r="AZ196">
        <v>8</v>
      </c>
      <c r="BA196" t="s">
        <v>667</v>
      </c>
      <c r="BB196" t="s">
        <v>501</v>
      </c>
      <c r="BC196">
        <v>3118758</v>
      </c>
      <c r="BD196">
        <v>4</v>
      </c>
      <c r="BE196" t="s">
        <v>502</v>
      </c>
      <c r="BF196" t="s">
        <v>503</v>
      </c>
      <c r="BG196" t="s">
        <v>504</v>
      </c>
      <c r="BH196" t="s">
        <v>505</v>
      </c>
      <c r="BI196">
        <v>125747</v>
      </c>
      <c r="BJ196">
        <v>0</v>
      </c>
    </row>
    <row r="197" spans="1:62" x14ac:dyDescent="0.35">
      <c r="A197" t="s">
        <v>1001</v>
      </c>
      <c r="B197" t="s">
        <v>1213</v>
      </c>
      <c r="C197" s="292">
        <v>43529</v>
      </c>
      <c r="D197" t="s">
        <v>479</v>
      </c>
      <c r="E197" t="s">
        <v>541</v>
      </c>
      <c r="F197" t="s">
        <v>1214</v>
      </c>
      <c r="G197">
        <v>2019</v>
      </c>
      <c r="H197" t="s">
        <v>396</v>
      </c>
      <c r="I197" t="s">
        <v>482</v>
      </c>
      <c r="J197" t="s">
        <v>510</v>
      </c>
      <c r="K197" t="s">
        <v>556</v>
      </c>
      <c r="L197" t="s">
        <v>485</v>
      </c>
      <c r="M197" t="s">
        <v>486</v>
      </c>
      <c r="O197" t="s">
        <v>609</v>
      </c>
      <c r="Q197" t="s">
        <v>488</v>
      </c>
      <c r="T197" t="s">
        <v>1003</v>
      </c>
      <c r="U197" t="s">
        <v>1004</v>
      </c>
      <c r="V197">
        <v>39.119999999999997</v>
      </c>
      <c r="W197">
        <v>1</v>
      </c>
      <c r="X197">
        <v>8494</v>
      </c>
      <c r="Y197">
        <v>25</v>
      </c>
      <c r="Z197" t="s">
        <v>491</v>
      </c>
      <c r="AA197" t="s">
        <v>491</v>
      </c>
      <c r="AB197" t="s">
        <v>491</v>
      </c>
      <c r="AC197" t="s">
        <v>491</v>
      </c>
      <c r="AD197" t="s">
        <v>1215</v>
      </c>
      <c r="AE197" t="s">
        <v>492</v>
      </c>
      <c r="AF197">
        <v>2</v>
      </c>
      <c r="AG197">
        <v>3</v>
      </c>
      <c r="AH197">
        <v>0</v>
      </c>
      <c r="AI197">
        <v>0</v>
      </c>
      <c r="AJ197">
        <v>0</v>
      </c>
      <c r="AK197">
        <v>0</v>
      </c>
      <c r="AL197">
        <v>0</v>
      </c>
      <c r="AM197">
        <v>3</v>
      </c>
      <c r="AN197" t="s">
        <v>493</v>
      </c>
      <c r="AO197" t="s">
        <v>494</v>
      </c>
      <c r="AP197">
        <v>12</v>
      </c>
      <c r="AQ197" t="s">
        <v>396</v>
      </c>
      <c r="AR197" t="s">
        <v>558</v>
      </c>
      <c r="AS197">
        <v>3</v>
      </c>
      <c r="AT197" t="s">
        <v>497</v>
      </c>
      <c r="AU197" t="s">
        <v>1213</v>
      </c>
      <c r="AV197" t="s">
        <v>498</v>
      </c>
      <c r="AW197" t="s">
        <v>1216</v>
      </c>
      <c r="AX197">
        <v>44.794426289999997</v>
      </c>
      <c r="AY197">
        <v>-68.765573360000005</v>
      </c>
      <c r="AZ197">
        <v>3</v>
      </c>
      <c r="BA197" t="s">
        <v>622</v>
      </c>
      <c r="BB197" t="s">
        <v>501</v>
      </c>
      <c r="BC197">
        <v>3119550</v>
      </c>
      <c r="BD197">
        <v>4</v>
      </c>
      <c r="BE197" t="s">
        <v>502</v>
      </c>
      <c r="BF197" t="s">
        <v>503</v>
      </c>
      <c r="BG197" t="s">
        <v>504</v>
      </c>
      <c r="BH197" t="s">
        <v>560</v>
      </c>
      <c r="BI197">
        <v>125829</v>
      </c>
      <c r="BJ197">
        <v>0.04</v>
      </c>
    </row>
    <row r="198" spans="1:62" x14ac:dyDescent="0.35">
      <c r="A198" t="s">
        <v>1001</v>
      </c>
      <c r="B198" t="s">
        <v>1217</v>
      </c>
      <c r="C198" s="292">
        <v>44048</v>
      </c>
      <c r="D198" t="s">
        <v>479</v>
      </c>
      <c r="E198" t="s">
        <v>574</v>
      </c>
      <c r="F198" t="s">
        <v>1218</v>
      </c>
      <c r="G198">
        <v>2020</v>
      </c>
      <c r="H198" t="s">
        <v>396</v>
      </c>
      <c r="I198" t="s">
        <v>482</v>
      </c>
      <c r="J198" t="s">
        <v>483</v>
      </c>
      <c r="K198" t="s">
        <v>484</v>
      </c>
      <c r="L198" t="s">
        <v>485</v>
      </c>
      <c r="M198" t="s">
        <v>486</v>
      </c>
      <c r="N198" t="s">
        <v>487</v>
      </c>
      <c r="O198" t="s">
        <v>553</v>
      </c>
      <c r="Q198" t="s">
        <v>496</v>
      </c>
      <c r="S198">
        <v>39685</v>
      </c>
      <c r="T198" t="s">
        <v>1003</v>
      </c>
      <c r="U198" t="s">
        <v>1004</v>
      </c>
      <c r="V198">
        <v>39.08</v>
      </c>
      <c r="W198">
        <v>1</v>
      </c>
      <c r="X198">
        <v>23788.5</v>
      </c>
      <c r="Z198" t="s">
        <v>491</v>
      </c>
      <c r="AA198" t="s">
        <v>491</v>
      </c>
      <c r="AB198" t="s">
        <v>491</v>
      </c>
      <c r="AC198" t="s">
        <v>491</v>
      </c>
      <c r="AD198" t="s">
        <v>492</v>
      </c>
      <c r="AE198" t="s">
        <v>492</v>
      </c>
      <c r="AF198">
        <v>2</v>
      </c>
      <c r="AG198">
        <v>2</v>
      </c>
      <c r="AH198">
        <v>0</v>
      </c>
      <c r="AI198">
        <v>0</v>
      </c>
      <c r="AJ198">
        <v>0</v>
      </c>
      <c r="AK198">
        <v>0</v>
      </c>
      <c r="AL198">
        <v>0</v>
      </c>
      <c r="AM198">
        <v>2</v>
      </c>
      <c r="AN198" t="s">
        <v>493</v>
      </c>
      <c r="AO198" t="s">
        <v>494</v>
      </c>
      <c r="AP198">
        <v>11</v>
      </c>
      <c r="AQ198" t="s">
        <v>495</v>
      </c>
      <c r="AR198" t="s">
        <v>496</v>
      </c>
      <c r="AS198">
        <v>4</v>
      </c>
      <c r="AT198" t="s">
        <v>497</v>
      </c>
      <c r="AU198" t="s">
        <v>1217</v>
      </c>
      <c r="AV198" t="s">
        <v>498</v>
      </c>
      <c r="AW198" t="s">
        <v>1219</v>
      </c>
      <c r="AX198">
        <v>44.794701119999999</v>
      </c>
      <c r="AY198">
        <v>-68.766163859999992</v>
      </c>
      <c r="AZ198">
        <v>8</v>
      </c>
      <c r="BA198" t="s">
        <v>667</v>
      </c>
      <c r="BB198" t="s">
        <v>501</v>
      </c>
      <c r="BC198">
        <v>3111001</v>
      </c>
      <c r="BD198">
        <v>4</v>
      </c>
      <c r="BE198" t="s">
        <v>502</v>
      </c>
      <c r="BF198" t="s">
        <v>503</v>
      </c>
      <c r="BG198" t="s">
        <v>504</v>
      </c>
      <c r="BH198" t="s">
        <v>505</v>
      </c>
      <c r="BI198">
        <v>128003</v>
      </c>
      <c r="BJ198">
        <v>0</v>
      </c>
    </row>
    <row r="199" spans="1:62" x14ac:dyDescent="0.35">
      <c r="A199" t="s">
        <v>1001</v>
      </c>
      <c r="B199" t="s">
        <v>1220</v>
      </c>
      <c r="C199" s="292">
        <v>45949</v>
      </c>
      <c r="D199" t="s">
        <v>479</v>
      </c>
      <c r="E199" t="s">
        <v>715</v>
      </c>
      <c r="F199" t="s">
        <v>1002</v>
      </c>
      <c r="G199">
        <v>2025</v>
      </c>
      <c r="H199" t="s">
        <v>396</v>
      </c>
      <c r="I199" t="s">
        <v>482</v>
      </c>
      <c r="J199" t="s">
        <v>483</v>
      </c>
      <c r="K199" t="s">
        <v>484</v>
      </c>
      <c r="L199" t="s">
        <v>485</v>
      </c>
      <c r="M199" t="s">
        <v>486</v>
      </c>
      <c r="N199" t="s">
        <v>487</v>
      </c>
      <c r="O199" t="s">
        <v>553</v>
      </c>
      <c r="Q199" t="s">
        <v>488</v>
      </c>
      <c r="S199">
        <v>39685</v>
      </c>
      <c r="T199" t="s">
        <v>1003</v>
      </c>
      <c r="U199" t="s">
        <v>1004</v>
      </c>
      <c r="V199">
        <v>39.08</v>
      </c>
      <c r="W199">
        <v>1</v>
      </c>
      <c r="X199">
        <v>23788.5</v>
      </c>
      <c r="Z199" t="s">
        <v>491</v>
      </c>
      <c r="AA199" t="s">
        <v>491</v>
      </c>
      <c r="AC199" t="s">
        <v>491</v>
      </c>
      <c r="AD199" t="s">
        <v>492</v>
      </c>
      <c r="AE199" t="s">
        <v>492</v>
      </c>
      <c r="AF199">
        <v>2</v>
      </c>
      <c r="AG199">
        <v>2</v>
      </c>
      <c r="AH199">
        <v>0</v>
      </c>
      <c r="AI199">
        <v>0</v>
      </c>
      <c r="AJ199">
        <v>0</v>
      </c>
      <c r="AK199">
        <v>0</v>
      </c>
      <c r="AL199">
        <v>0</v>
      </c>
      <c r="AM199">
        <v>2</v>
      </c>
      <c r="AN199" t="s">
        <v>493</v>
      </c>
      <c r="AO199" t="s">
        <v>494</v>
      </c>
      <c r="AP199">
        <v>15</v>
      </c>
      <c r="AQ199" t="s">
        <v>495</v>
      </c>
      <c r="AR199" t="s">
        <v>496</v>
      </c>
      <c r="AS199">
        <v>1</v>
      </c>
      <c r="AT199" t="s">
        <v>497</v>
      </c>
      <c r="AU199" t="s">
        <v>1220</v>
      </c>
      <c r="AV199" t="s">
        <v>498</v>
      </c>
      <c r="AW199" t="s">
        <v>1221</v>
      </c>
      <c r="AX199">
        <v>44.794701119999999</v>
      </c>
      <c r="AY199">
        <v>-68.766163859999992</v>
      </c>
      <c r="AZ199">
        <v>10</v>
      </c>
      <c r="BA199" t="s">
        <v>548</v>
      </c>
      <c r="BB199" t="s">
        <v>501</v>
      </c>
      <c r="BC199">
        <v>3111001</v>
      </c>
      <c r="BD199">
        <v>4</v>
      </c>
      <c r="BE199" t="s">
        <v>502</v>
      </c>
      <c r="BF199" t="s">
        <v>503</v>
      </c>
      <c r="BG199" t="s">
        <v>504</v>
      </c>
      <c r="BH199" t="s">
        <v>505</v>
      </c>
      <c r="BI199">
        <v>134705</v>
      </c>
      <c r="BJ199">
        <v>0</v>
      </c>
    </row>
    <row r="200" spans="1:62" x14ac:dyDescent="0.35">
      <c r="A200" t="s">
        <v>1001</v>
      </c>
      <c r="B200" t="s">
        <v>1222</v>
      </c>
      <c r="C200" s="292">
        <v>45987</v>
      </c>
      <c r="D200" t="s">
        <v>479</v>
      </c>
      <c r="E200" t="s">
        <v>574</v>
      </c>
      <c r="F200" t="s">
        <v>1223</v>
      </c>
      <c r="G200">
        <v>2025</v>
      </c>
      <c r="H200" t="s">
        <v>396</v>
      </c>
      <c r="I200" t="s">
        <v>482</v>
      </c>
      <c r="J200" t="s">
        <v>510</v>
      </c>
      <c r="K200" t="s">
        <v>484</v>
      </c>
      <c r="L200" t="s">
        <v>526</v>
      </c>
      <c r="M200" t="s">
        <v>563</v>
      </c>
      <c r="N200" t="s">
        <v>487</v>
      </c>
      <c r="O200" t="s">
        <v>564</v>
      </c>
      <c r="Q200" t="s">
        <v>488</v>
      </c>
      <c r="S200">
        <v>39685</v>
      </c>
      <c r="T200" t="s">
        <v>1003</v>
      </c>
      <c r="U200" t="s">
        <v>1004</v>
      </c>
      <c r="V200">
        <v>39.08</v>
      </c>
      <c r="W200">
        <v>1</v>
      </c>
      <c r="X200">
        <v>23788.5</v>
      </c>
      <c r="Z200" t="s">
        <v>491</v>
      </c>
      <c r="AA200" t="s">
        <v>491</v>
      </c>
      <c r="AC200" t="s">
        <v>491</v>
      </c>
      <c r="AD200" t="s">
        <v>492</v>
      </c>
      <c r="AE200" t="s">
        <v>492</v>
      </c>
      <c r="AF200">
        <v>2</v>
      </c>
      <c r="AG200">
        <v>2</v>
      </c>
      <c r="AH200">
        <v>0</v>
      </c>
      <c r="AI200">
        <v>0</v>
      </c>
      <c r="AJ200">
        <v>0</v>
      </c>
      <c r="AK200">
        <v>0</v>
      </c>
      <c r="AL200">
        <v>0</v>
      </c>
      <c r="AM200">
        <v>2</v>
      </c>
      <c r="AN200" t="s">
        <v>493</v>
      </c>
      <c r="AO200" t="s">
        <v>494</v>
      </c>
      <c r="AP200">
        <v>14</v>
      </c>
      <c r="AQ200" t="s">
        <v>495</v>
      </c>
      <c r="AR200" t="s">
        <v>496</v>
      </c>
      <c r="AS200">
        <v>4</v>
      </c>
      <c r="AT200" t="s">
        <v>497</v>
      </c>
      <c r="AU200" t="s">
        <v>1222</v>
      </c>
      <c r="AV200" t="s">
        <v>498</v>
      </c>
      <c r="AW200" t="s">
        <v>1224</v>
      </c>
      <c r="AX200">
        <v>44.794701119999999</v>
      </c>
      <c r="AY200">
        <v>-68.766163859999992</v>
      </c>
      <c r="AZ200">
        <v>11</v>
      </c>
      <c r="BA200" t="s">
        <v>551</v>
      </c>
      <c r="BB200" t="s">
        <v>501</v>
      </c>
      <c r="BC200">
        <v>3111001</v>
      </c>
      <c r="BD200">
        <v>4</v>
      </c>
      <c r="BE200" t="s">
        <v>502</v>
      </c>
      <c r="BF200" t="s">
        <v>503</v>
      </c>
      <c r="BG200" t="s">
        <v>504</v>
      </c>
      <c r="BH200" t="s">
        <v>505</v>
      </c>
      <c r="BI200">
        <v>134944</v>
      </c>
      <c r="BJ200">
        <v>0</v>
      </c>
    </row>
    <row r="201" spans="1:62" x14ac:dyDescent="0.35">
      <c r="A201" t="s">
        <v>1001</v>
      </c>
      <c r="B201" t="s">
        <v>1225</v>
      </c>
      <c r="C201" s="292">
        <v>45986</v>
      </c>
      <c r="D201" t="s">
        <v>479</v>
      </c>
      <c r="E201" t="s">
        <v>480</v>
      </c>
      <c r="F201" t="s">
        <v>704</v>
      </c>
      <c r="G201">
        <v>2025</v>
      </c>
      <c r="H201" t="s">
        <v>396</v>
      </c>
      <c r="I201" t="s">
        <v>482</v>
      </c>
      <c r="J201" t="s">
        <v>510</v>
      </c>
      <c r="K201" t="s">
        <v>525</v>
      </c>
      <c r="L201" t="s">
        <v>485</v>
      </c>
      <c r="M201" t="s">
        <v>486</v>
      </c>
      <c r="N201" t="s">
        <v>487</v>
      </c>
      <c r="O201" t="s">
        <v>511</v>
      </c>
      <c r="P201" t="s">
        <v>488</v>
      </c>
      <c r="Q201" t="s">
        <v>488</v>
      </c>
      <c r="S201">
        <v>38309</v>
      </c>
      <c r="T201" t="s">
        <v>1003</v>
      </c>
      <c r="U201" t="s">
        <v>1004</v>
      </c>
      <c r="V201">
        <v>39.840000000000003</v>
      </c>
      <c r="W201">
        <v>1</v>
      </c>
      <c r="X201">
        <v>9913.5</v>
      </c>
      <c r="Z201" t="s">
        <v>491</v>
      </c>
      <c r="AA201" t="s">
        <v>491</v>
      </c>
      <c r="AC201" t="s">
        <v>491</v>
      </c>
      <c r="AD201" t="s">
        <v>492</v>
      </c>
      <c r="AE201" t="s">
        <v>492</v>
      </c>
      <c r="AF201">
        <v>2</v>
      </c>
      <c r="AG201">
        <v>3</v>
      </c>
      <c r="AH201">
        <v>0</v>
      </c>
      <c r="AI201">
        <v>0</v>
      </c>
      <c r="AJ201">
        <v>0</v>
      </c>
      <c r="AK201">
        <v>0</v>
      </c>
      <c r="AL201">
        <v>0</v>
      </c>
      <c r="AM201">
        <v>3</v>
      </c>
      <c r="AN201" t="s">
        <v>493</v>
      </c>
      <c r="AO201" t="s">
        <v>494</v>
      </c>
      <c r="AP201">
        <v>9</v>
      </c>
      <c r="AQ201" t="s">
        <v>495</v>
      </c>
      <c r="AR201" t="s">
        <v>496</v>
      </c>
      <c r="AS201">
        <v>3</v>
      </c>
      <c r="AT201" t="s">
        <v>497</v>
      </c>
      <c r="AU201" t="s">
        <v>1225</v>
      </c>
      <c r="AV201" t="s">
        <v>498</v>
      </c>
      <c r="AW201" t="s">
        <v>1226</v>
      </c>
      <c r="AX201">
        <v>44.786902750000003</v>
      </c>
      <c r="AY201">
        <v>-68.755555079999993</v>
      </c>
      <c r="AZ201">
        <v>11</v>
      </c>
      <c r="BA201" t="s">
        <v>551</v>
      </c>
      <c r="BB201" t="s">
        <v>501</v>
      </c>
      <c r="BC201">
        <v>3115152</v>
      </c>
      <c r="BD201">
        <v>4</v>
      </c>
      <c r="BE201" t="s">
        <v>502</v>
      </c>
      <c r="BF201" t="s">
        <v>503</v>
      </c>
      <c r="BG201" t="s">
        <v>504</v>
      </c>
      <c r="BH201" t="s">
        <v>505</v>
      </c>
      <c r="BI201">
        <v>135092</v>
      </c>
      <c r="BJ201">
        <v>0</v>
      </c>
    </row>
    <row r="202" spans="1:62" x14ac:dyDescent="0.35">
      <c r="A202" t="s">
        <v>1001</v>
      </c>
      <c r="B202" t="s">
        <v>1227</v>
      </c>
      <c r="C202" s="292">
        <v>44116</v>
      </c>
      <c r="D202" t="s">
        <v>479</v>
      </c>
      <c r="E202" t="s">
        <v>523</v>
      </c>
      <c r="F202" t="s">
        <v>1228</v>
      </c>
      <c r="G202">
        <v>2020</v>
      </c>
      <c r="H202" t="s">
        <v>396</v>
      </c>
      <c r="I202" t="s">
        <v>482</v>
      </c>
      <c r="J202" t="s">
        <v>510</v>
      </c>
      <c r="K202" t="s">
        <v>484</v>
      </c>
      <c r="L202" t="s">
        <v>485</v>
      </c>
      <c r="M202" t="s">
        <v>486</v>
      </c>
      <c r="N202" t="s">
        <v>487</v>
      </c>
      <c r="O202" t="s">
        <v>609</v>
      </c>
      <c r="Q202" t="s">
        <v>488</v>
      </c>
      <c r="S202">
        <v>39685</v>
      </c>
      <c r="T202" t="s">
        <v>1003</v>
      </c>
      <c r="U202" t="s">
        <v>1004</v>
      </c>
      <c r="V202">
        <v>39.08</v>
      </c>
      <c r="W202">
        <v>1</v>
      </c>
      <c r="X202">
        <v>23788.5</v>
      </c>
      <c r="Z202" t="s">
        <v>491</v>
      </c>
      <c r="AA202" t="s">
        <v>491</v>
      </c>
      <c r="AB202" t="s">
        <v>491</v>
      </c>
      <c r="AC202" t="s">
        <v>491</v>
      </c>
      <c r="AD202" t="s">
        <v>492</v>
      </c>
      <c r="AE202" t="s">
        <v>492</v>
      </c>
      <c r="AF202">
        <v>2</v>
      </c>
      <c r="AG202">
        <v>3</v>
      </c>
      <c r="AH202">
        <v>0</v>
      </c>
      <c r="AI202">
        <v>0</v>
      </c>
      <c r="AJ202">
        <v>0</v>
      </c>
      <c r="AK202">
        <v>0</v>
      </c>
      <c r="AL202">
        <v>0</v>
      </c>
      <c r="AM202">
        <v>3</v>
      </c>
      <c r="AN202" t="s">
        <v>493</v>
      </c>
      <c r="AO202" t="s">
        <v>494</v>
      </c>
      <c r="AP202">
        <v>10</v>
      </c>
      <c r="AQ202" t="s">
        <v>495</v>
      </c>
      <c r="AR202" t="s">
        <v>496</v>
      </c>
      <c r="AS202">
        <v>2</v>
      </c>
      <c r="AT202" t="s">
        <v>497</v>
      </c>
      <c r="AU202" t="s">
        <v>1227</v>
      </c>
      <c r="AV202" t="s">
        <v>498</v>
      </c>
      <c r="AW202" t="s">
        <v>1229</v>
      </c>
      <c r="AX202">
        <v>44.794701119999999</v>
      </c>
      <c r="AY202">
        <v>-68.766163859999992</v>
      </c>
      <c r="AZ202">
        <v>10</v>
      </c>
      <c r="BA202" t="s">
        <v>548</v>
      </c>
      <c r="BB202" t="s">
        <v>501</v>
      </c>
      <c r="BC202">
        <v>3111001</v>
      </c>
      <c r="BD202">
        <v>4</v>
      </c>
      <c r="BE202" t="s">
        <v>502</v>
      </c>
      <c r="BF202" t="s">
        <v>503</v>
      </c>
      <c r="BG202" t="s">
        <v>504</v>
      </c>
      <c r="BH202" t="s">
        <v>505</v>
      </c>
      <c r="BI202">
        <v>135188</v>
      </c>
      <c r="BJ202">
        <v>0</v>
      </c>
    </row>
    <row r="203" spans="1:62" x14ac:dyDescent="0.35">
      <c r="A203" t="s">
        <v>1001</v>
      </c>
      <c r="B203" t="s">
        <v>1230</v>
      </c>
      <c r="C203" s="292">
        <v>44107</v>
      </c>
      <c r="D203" t="s">
        <v>479</v>
      </c>
      <c r="E203" t="s">
        <v>552</v>
      </c>
      <c r="F203" t="s">
        <v>1231</v>
      </c>
      <c r="G203">
        <v>2020</v>
      </c>
      <c r="H203" t="s">
        <v>396</v>
      </c>
      <c r="I203" t="s">
        <v>532</v>
      </c>
      <c r="J203" t="s">
        <v>483</v>
      </c>
      <c r="K203" t="s">
        <v>484</v>
      </c>
      <c r="L203" t="s">
        <v>485</v>
      </c>
      <c r="M203" t="s">
        <v>486</v>
      </c>
      <c r="N203" t="s">
        <v>487</v>
      </c>
      <c r="O203" t="s">
        <v>553</v>
      </c>
      <c r="P203" t="s">
        <v>488</v>
      </c>
      <c r="Q203" t="s">
        <v>488</v>
      </c>
      <c r="S203">
        <v>39685</v>
      </c>
      <c r="T203" t="s">
        <v>1003</v>
      </c>
      <c r="U203" t="s">
        <v>1004</v>
      </c>
      <c r="V203">
        <v>39.08</v>
      </c>
      <c r="W203">
        <v>1</v>
      </c>
      <c r="X203">
        <v>23788.5</v>
      </c>
      <c r="Z203" t="s">
        <v>491</v>
      </c>
      <c r="AA203" t="s">
        <v>491</v>
      </c>
      <c r="AB203" t="s">
        <v>491</v>
      </c>
      <c r="AC203" t="s">
        <v>491</v>
      </c>
      <c r="AD203" t="s">
        <v>492</v>
      </c>
      <c r="AE203" t="s">
        <v>492</v>
      </c>
      <c r="AF203">
        <v>2</v>
      </c>
      <c r="AG203">
        <v>3</v>
      </c>
      <c r="AH203">
        <v>0</v>
      </c>
      <c r="AI203">
        <v>0</v>
      </c>
      <c r="AJ203">
        <v>0</v>
      </c>
      <c r="AK203">
        <v>0</v>
      </c>
      <c r="AL203">
        <v>0</v>
      </c>
      <c r="AM203">
        <v>3</v>
      </c>
      <c r="AN203" t="s">
        <v>493</v>
      </c>
      <c r="AO203" t="s">
        <v>494</v>
      </c>
      <c r="AP203">
        <v>19</v>
      </c>
      <c r="AQ203" t="s">
        <v>495</v>
      </c>
      <c r="AR203" t="s">
        <v>496</v>
      </c>
      <c r="AS203">
        <v>7</v>
      </c>
      <c r="AT203" t="s">
        <v>497</v>
      </c>
      <c r="AU203" t="s">
        <v>1230</v>
      </c>
      <c r="AV203" t="s">
        <v>498</v>
      </c>
      <c r="AW203" t="s">
        <v>1232</v>
      </c>
      <c r="AX203">
        <v>44.794699999999999</v>
      </c>
      <c r="AY203">
        <v>-68.766159999999999</v>
      </c>
      <c r="AZ203">
        <v>10</v>
      </c>
      <c r="BA203" t="s">
        <v>548</v>
      </c>
      <c r="BB203" t="s">
        <v>501</v>
      </c>
      <c r="BC203">
        <v>3111001</v>
      </c>
      <c r="BD203">
        <v>4</v>
      </c>
      <c r="BE203" t="s">
        <v>502</v>
      </c>
      <c r="BF203" t="s">
        <v>503</v>
      </c>
      <c r="BG203" t="s">
        <v>504</v>
      </c>
      <c r="BH203" t="s">
        <v>505</v>
      </c>
      <c r="BI203">
        <v>135460</v>
      </c>
      <c r="BJ203">
        <v>0</v>
      </c>
    </row>
    <row r="204" spans="1:62" x14ac:dyDescent="0.35">
      <c r="A204" t="s">
        <v>1001</v>
      </c>
      <c r="B204" t="s">
        <v>1233</v>
      </c>
      <c r="C204" s="292">
        <v>45493</v>
      </c>
      <c r="D204" t="s">
        <v>479</v>
      </c>
      <c r="E204" t="s">
        <v>568</v>
      </c>
      <c r="F204" t="s">
        <v>1234</v>
      </c>
      <c r="G204">
        <v>2024</v>
      </c>
      <c r="H204" t="s">
        <v>396</v>
      </c>
      <c r="I204" t="s">
        <v>482</v>
      </c>
      <c r="J204" t="s">
        <v>483</v>
      </c>
      <c r="K204" t="s">
        <v>484</v>
      </c>
      <c r="L204" t="s">
        <v>485</v>
      </c>
      <c r="M204" t="s">
        <v>486</v>
      </c>
      <c r="N204" t="s">
        <v>487</v>
      </c>
      <c r="O204" t="s">
        <v>488</v>
      </c>
      <c r="Q204" t="s">
        <v>488</v>
      </c>
      <c r="S204">
        <v>39685</v>
      </c>
      <c r="T204" t="s">
        <v>1003</v>
      </c>
      <c r="U204" t="s">
        <v>1004</v>
      </c>
      <c r="V204">
        <v>39.08</v>
      </c>
      <c r="W204">
        <v>1</v>
      </c>
      <c r="X204">
        <v>23788.5</v>
      </c>
      <c r="Z204" t="s">
        <v>491</v>
      </c>
      <c r="AA204" t="s">
        <v>491</v>
      </c>
      <c r="AC204" t="s">
        <v>491</v>
      </c>
      <c r="AD204" t="s">
        <v>492</v>
      </c>
      <c r="AE204" t="s">
        <v>487</v>
      </c>
      <c r="AF204">
        <v>2</v>
      </c>
      <c r="AG204">
        <v>2</v>
      </c>
      <c r="AH204">
        <v>0</v>
      </c>
      <c r="AI204">
        <v>0</v>
      </c>
      <c r="AJ204">
        <v>0</v>
      </c>
      <c r="AK204">
        <v>0</v>
      </c>
      <c r="AL204">
        <v>0</v>
      </c>
      <c r="AM204">
        <v>2</v>
      </c>
      <c r="AN204" t="s">
        <v>493</v>
      </c>
      <c r="AO204" t="s">
        <v>494</v>
      </c>
      <c r="AP204">
        <v>9</v>
      </c>
      <c r="AQ204" t="s">
        <v>495</v>
      </c>
      <c r="AR204" t="s">
        <v>496</v>
      </c>
      <c r="AS204">
        <v>7</v>
      </c>
      <c r="AT204" t="s">
        <v>497</v>
      </c>
      <c r="AU204" t="s">
        <v>1233</v>
      </c>
      <c r="AV204" t="s">
        <v>498</v>
      </c>
      <c r="AW204" t="s">
        <v>1235</v>
      </c>
      <c r="AX204">
        <v>44.794701119999999</v>
      </c>
      <c r="AY204">
        <v>-68.766163859999992</v>
      </c>
      <c r="AZ204">
        <v>7</v>
      </c>
      <c r="BA204" t="s">
        <v>500</v>
      </c>
      <c r="BB204" t="s">
        <v>501</v>
      </c>
      <c r="BC204">
        <v>3111001</v>
      </c>
      <c r="BD204">
        <v>4</v>
      </c>
      <c r="BE204" t="s">
        <v>502</v>
      </c>
      <c r="BF204" t="s">
        <v>503</v>
      </c>
      <c r="BG204" t="s">
        <v>504</v>
      </c>
      <c r="BH204" t="s">
        <v>505</v>
      </c>
      <c r="BI204">
        <v>136426</v>
      </c>
      <c r="BJ204">
        <v>0</v>
      </c>
    </row>
    <row r="205" spans="1:62" x14ac:dyDescent="0.35">
      <c r="A205" t="s">
        <v>1001</v>
      </c>
      <c r="B205" t="s">
        <v>1236</v>
      </c>
      <c r="C205" s="292">
        <v>45497</v>
      </c>
      <c r="D205" t="s">
        <v>479</v>
      </c>
      <c r="E205" t="s">
        <v>574</v>
      </c>
      <c r="F205" t="s">
        <v>1186</v>
      </c>
      <c r="G205">
        <v>2024</v>
      </c>
      <c r="H205" t="s">
        <v>396</v>
      </c>
      <c r="I205" t="s">
        <v>482</v>
      </c>
      <c r="J205" t="s">
        <v>415</v>
      </c>
      <c r="K205" t="s">
        <v>525</v>
      </c>
      <c r="L205" t="s">
        <v>526</v>
      </c>
      <c r="M205" t="s">
        <v>563</v>
      </c>
      <c r="N205" t="s">
        <v>487</v>
      </c>
      <c r="O205" t="s">
        <v>496</v>
      </c>
      <c r="S205">
        <v>38309</v>
      </c>
      <c r="T205" t="s">
        <v>1003</v>
      </c>
      <c r="U205" t="s">
        <v>1004</v>
      </c>
      <c r="V205">
        <v>39.840000000000003</v>
      </c>
      <c r="W205">
        <v>1</v>
      </c>
      <c r="X205">
        <v>9913.5</v>
      </c>
      <c r="Z205" t="s">
        <v>646</v>
      </c>
      <c r="AA205" t="s">
        <v>491</v>
      </c>
      <c r="AC205" t="s">
        <v>491</v>
      </c>
      <c r="AD205" t="s">
        <v>492</v>
      </c>
      <c r="AE205" t="s">
        <v>492</v>
      </c>
      <c r="AF205">
        <v>2</v>
      </c>
      <c r="AG205">
        <v>2</v>
      </c>
      <c r="AH205">
        <v>0</v>
      </c>
      <c r="AI205">
        <v>0</v>
      </c>
      <c r="AJ205">
        <v>0</v>
      </c>
      <c r="AK205">
        <v>0</v>
      </c>
      <c r="AL205">
        <v>0</v>
      </c>
      <c r="AM205">
        <v>2</v>
      </c>
      <c r="AN205" t="s">
        <v>493</v>
      </c>
      <c r="AO205" t="s">
        <v>494</v>
      </c>
      <c r="AP205">
        <v>11</v>
      </c>
      <c r="AQ205" t="s">
        <v>495</v>
      </c>
      <c r="AR205" t="s">
        <v>496</v>
      </c>
      <c r="AS205">
        <v>4</v>
      </c>
      <c r="AT205" t="s">
        <v>497</v>
      </c>
      <c r="AU205" t="s">
        <v>1236</v>
      </c>
      <c r="AV205" t="s">
        <v>498</v>
      </c>
      <c r="AW205" t="s">
        <v>1237</v>
      </c>
      <c r="AX205">
        <v>44.786902750000003</v>
      </c>
      <c r="AY205">
        <v>-68.75555507</v>
      </c>
      <c r="AZ205">
        <v>7</v>
      </c>
      <c r="BA205" t="s">
        <v>500</v>
      </c>
      <c r="BB205" t="s">
        <v>501</v>
      </c>
      <c r="BC205">
        <v>3115152</v>
      </c>
      <c r="BD205">
        <v>4</v>
      </c>
      <c r="BE205" t="s">
        <v>502</v>
      </c>
      <c r="BF205" t="s">
        <v>503</v>
      </c>
      <c r="BG205" t="s">
        <v>504</v>
      </c>
      <c r="BH205" t="s">
        <v>505</v>
      </c>
      <c r="BI205">
        <v>136798</v>
      </c>
      <c r="BJ205">
        <v>0</v>
      </c>
    </row>
    <row r="206" spans="1:62" x14ac:dyDescent="0.35">
      <c r="A206" t="s">
        <v>1001</v>
      </c>
      <c r="B206" t="s">
        <v>1238</v>
      </c>
      <c r="C206" s="292">
        <v>43498</v>
      </c>
      <c r="D206" t="s">
        <v>479</v>
      </c>
      <c r="E206" t="s">
        <v>552</v>
      </c>
      <c r="F206" t="s">
        <v>969</v>
      </c>
      <c r="G206">
        <v>2019</v>
      </c>
      <c r="H206" t="s">
        <v>396</v>
      </c>
      <c r="I206" t="s">
        <v>532</v>
      </c>
      <c r="J206" t="s">
        <v>483</v>
      </c>
      <c r="K206" t="s">
        <v>484</v>
      </c>
      <c r="L206" t="s">
        <v>526</v>
      </c>
      <c r="M206" t="s">
        <v>486</v>
      </c>
      <c r="N206" t="s">
        <v>487</v>
      </c>
      <c r="O206" t="s">
        <v>553</v>
      </c>
      <c r="P206" t="s">
        <v>911</v>
      </c>
      <c r="Q206" t="s">
        <v>488</v>
      </c>
      <c r="S206">
        <v>39685</v>
      </c>
      <c r="T206" t="s">
        <v>1003</v>
      </c>
      <c r="U206" t="s">
        <v>1004</v>
      </c>
      <c r="V206">
        <v>39.08</v>
      </c>
      <c r="W206">
        <v>1</v>
      </c>
      <c r="X206">
        <v>23788.5</v>
      </c>
      <c r="Z206" t="s">
        <v>491</v>
      </c>
      <c r="AA206" t="s">
        <v>491</v>
      </c>
      <c r="AB206" t="s">
        <v>491</v>
      </c>
      <c r="AC206" t="s">
        <v>491</v>
      </c>
      <c r="AD206" t="s">
        <v>492</v>
      </c>
      <c r="AE206" t="s">
        <v>492</v>
      </c>
      <c r="AF206">
        <v>2</v>
      </c>
      <c r="AG206">
        <v>2</v>
      </c>
      <c r="AH206">
        <v>0</v>
      </c>
      <c r="AI206">
        <v>0</v>
      </c>
      <c r="AJ206">
        <v>0</v>
      </c>
      <c r="AK206">
        <v>0</v>
      </c>
      <c r="AL206">
        <v>0</v>
      </c>
      <c r="AM206">
        <v>2</v>
      </c>
      <c r="AN206" t="s">
        <v>493</v>
      </c>
      <c r="AO206" t="s">
        <v>494</v>
      </c>
      <c r="AP206">
        <v>17</v>
      </c>
      <c r="AQ206" t="s">
        <v>495</v>
      </c>
      <c r="AR206" t="s">
        <v>496</v>
      </c>
      <c r="AS206">
        <v>7</v>
      </c>
      <c r="AT206" t="s">
        <v>497</v>
      </c>
      <c r="AU206" t="s">
        <v>1239</v>
      </c>
      <c r="AV206" t="s">
        <v>498</v>
      </c>
      <c r="AW206" t="s">
        <v>1240</v>
      </c>
      <c r="AX206">
        <v>44.794701119999999</v>
      </c>
      <c r="AY206">
        <v>-68.766163859999992</v>
      </c>
      <c r="AZ206">
        <v>2</v>
      </c>
      <c r="BA206" t="s">
        <v>675</v>
      </c>
      <c r="BB206" t="s">
        <v>501</v>
      </c>
      <c r="BC206">
        <v>3111001</v>
      </c>
      <c r="BD206">
        <v>4</v>
      </c>
      <c r="BE206" t="s">
        <v>502</v>
      </c>
      <c r="BF206" t="s">
        <v>503</v>
      </c>
      <c r="BG206" t="s">
        <v>504</v>
      </c>
      <c r="BH206" t="s">
        <v>505</v>
      </c>
      <c r="BI206">
        <v>137454</v>
      </c>
      <c r="BJ206">
        <v>0</v>
      </c>
    </row>
    <row r="207" spans="1:62" x14ac:dyDescent="0.35">
      <c r="A207" t="s">
        <v>1001</v>
      </c>
      <c r="B207" t="s">
        <v>1241</v>
      </c>
      <c r="C207" s="292">
        <v>43334</v>
      </c>
      <c r="D207" t="s">
        <v>479</v>
      </c>
      <c r="E207" t="s">
        <v>574</v>
      </c>
      <c r="F207" t="s">
        <v>1242</v>
      </c>
      <c r="G207">
        <v>2018</v>
      </c>
      <c r="H207" t="s">
        <v>396</v>
      </c>
      <c r="I207" t="s">
        <v>532</v>
      </c>
      <c r="J207" t="s">
        <v>483</v>
      </c>
      <c r="K207" t="s">
        <v>576</v>
      </c>
      <c r="L207" t="s">
        <v>485</v>
      </c>
      <c r="M207" t="s">
        <v>486</v>
      </c>
      <c r="O207" t="s">
        <v>496</v>
      </c>
      <c r="T207" t="s">
        <v>1007</v>
      </c>
      <c r="U207" t="s">
        <v>1008</v>
      </c>
      <c r="V207">
        <v>0.70000000000000007</v>
      </c>
      <c r="W207">
        <v>2</v>
      </c>
      <c r="X207">
        <v>12893</v>
      </c>
      <c r="Y207">
        <v>25</v>
      </c>
      <c r="Z207" t="s">
        <v>491</v>
      </c>
      <c r="AA207" t="s">
        <v>491</v>
      </c>
      <c r="AB207" t="s">
        <v>491</v>
      </c>
      <c r="AC207" t="s">
        <v>491</v>
      </c>
      <c r="AD207" t="s">
        <v>492</v>
      </c>
      <c r="AE207" t="s">
        <v>492</v>
      </c>
      <c r="AF207">
        <v>1</v>
      </c>
      <c r="AG207">
        <v>1</v>
      </c>
      <c r="AH207">
        <v>0</v>
      </c>
      <c r="AI207">
        <v>0</v>
      </c>
      <c r="AJ207">
        <v>0</v>
      </c>
      <c r="AK207">
        <v>0</v>
      </c>
      <c r="AL207">
        <v>0</v>
      </c>
      <c r="AM207">
        <v>1</v>
      </c>
      <c r="AN207" t="s">
        <v>493</v>
      </c>
      <c r="AO207" t="s">
        <v>494</v>
      </c>
      <c r="AP207">
        <v>21</v>
      </c>
      <c r="AQ207" t="s">
        <v>396</v>
      </c>
      <c r="AR207" t="s">
        <v>672</v>
      </c>
      <c r="AS207">
        <v>4</v>
      </c>
      <c r="AT207" t="s">
        <v>497</v>
      </c>
      <c r="AU207" t="s">
        <v>1241</v>
      </c>
      <c r="AV207" t="s">
        <v>498</v>
      </c>
      <c r="AW207" t="s">
        <v>1243</v>
      </c>
      <c r="AX207">
        <v>44.79444668</v>
      </c>
      <c r="AY207">
        <v>-68.766372259999997</v>
      </c>
      <c r="AZ207">
        <v>8</v>
      </c>
      <c r="BA207" t="s">
        <v>667</v>
      </c>
      <c r="BB207" t="s">
        <v>501</v>
      </c>
      <c r="BC207">
        <v>3111000</v>
      </c>
      <c r="BD207">
        <v>4</v>
      </c>
      <c r="BE207" t="s">
        <v>502</v>
      </c>
      <c r="BF207" t="s">
        <v>503</v>
      </c>
      <c r="BG207" t="s">
        <v>504</v>
      </c>
      <c r="BH207" t="s">
        <v>560</v>
      </c>
      <c r="BI207">
        <v>139029</v>
      </c>
      <c r="BJ207">
        <v>0.06</v>
      </c>
    </row>
    <row r="208" spans="1:62" x14ac:dyDescent="0.35">
      <c r="A208" t="s">
        <v>1001</v>
      </c>
      <c r="B208" t="s">
        <v>1244</v>
      </c>
      <c r="C208" s="292">
        <v>45510</v>
      </c>
      <c r="D208" t="s">
        <v>479</v>
      </c>
      <c r="E208" t="s">
        <v>480</v>
      </c>
      <c r="F208" t="s">
        <v>1245</v>
      </c>
      <c r="G208">
        <v>2024</v>
      </c>
      <c r="H208" t="s">
        <v>396</v>
      </c>
      <c r="I208" t="s">
        <v>482</v>
      </c>
      <c r="J208" t="s">
        <v>510</v>
      </c>
      <c r="K208" t="s">
        <v>484</v>
      </c>
      <c r="L208" t="s">
        <v>485</v>
      </c>
      <c r="M208" t="s">
        <v>486</v>
      </c>
      <c r="N208" t="s">
        <v>487</v>
      </c>
      <c r="O208" t="s">
        <v>488</v>
      </c>
      <c r="Q208" t="s">
        <v>488</v>
      </c>
      <c r="S208">
        <v>39685</v>
      </c>
      <c r="T208" t="s">
        <v>1003</v>
      </c>
      <c r="U208" t="s">
        <v>1004</v>
      </c>
      <c r="V208">
        <v>39.08</v>
      </c>
      <c r="W208">
        <v>1</v>
      </c>
      <c r="X208">
        <v>23788.5</v>
      </c>
      <c r="Z208" t="s">
        <v>491</v>
      </c>
      <c r="AA208" t="s">
        <v>491</v>
      </c>
      <c r="AC208" t="s">
        <v>491</v>
      </c>
      <c r="AD208" t="s">
        <v>492</v>
      </c>
      <c r="AE208" t="s">
        <v>492</v>
      </c>
      <c r="AF208">
        <v>2</v>
      </c>
      <c r="AG208">
        <v>2</v>
      </c>
      <c r="AH208">
        <v>0</v>
      </c>
      <c r="AI208">
        <v>0</v>
      </c>
      <c r="AJ208">
        <v>0</v>
      </c>
      <c r="AK208">
        <v>0</v>
      </c>
      <c r="AL208">
        <v>0</v>
      </c>
      <c r="AM208">
        <v>2</v>
      </c>
      <c r="AN208" t="s">
        <v>493</v>
      </c>
      <c r="AO208" t="s">
        <v>494</v>
      </c>
      <c r="AP208">
        <v>18</v>
      </c>
      <c r="AQ208" t="s">
        <v>495</v>
      </c>
      <c r="AR208" t="s">
        <v>496</v>
      </c>
      <c r="AS208">
        <v>3</v>
      </c>
      <c r="AT208" t="s">
        <v>497</v>
      </c>
      <c r="AU208" t="s">
        <v>1244</v>
      </c>
      <c r="AV208" t="s">
        <v>498</v>
      </c>
      <c r="AW208" t="s">
        <v>1246</v>
      </c>
      <c r="AX208">
        <v>44.794701119999999</v>
      </c>
      <c r="AY208">
        <v>-68.766163859999992</v>
      </c>
      <c r="AZ208">
        <v>8</v>
      </c>
      <c r="BA208" t="s">
        <v>667</v>
      </c>
      <c r="BB208" t="s">
        <v>501</v>
      </c>
      <c r="BC208">
        <v>3111001</v>
      </c>
      <c r="BD208">
        <v>4</v>
      </c>
      <c r="BE208" t="s">
        <v>502</v>
      </c>
      <c r="BF208" t="s">
        <v>503</v>
      </c>
      <c r="BG208" t="s">
        <v>504</v>
      </c>
      <c r="BH208" t="s">
        <v>505</v>
      </c>
      <c r="BI208">
        <v>139981</v>
      </c>
      <c r="BJ208">
        <v>0</v>
      </c>
    </row>
    <row r="209" spans="1:62" x14ac:dyDescent="0.35">
      <c r="A209" t="s">
        <v>1001</v>
      </c>
      <c r="B209" t="s">
        <v>1247</v>
      </c>
      <c r="C209" s="292">
        <v>44447</v>
      </c>
      <c r="D209" t="s">
        <v>479</v>
      </c>
      <c r="E209" t="s">
        <v>574</v>
      </c>
      <c r="F209" t="s">
        <v>1248</v>
      </c>
      <c r="G209">
        <v>2021</v>
      </c>
      <c r="H209" t="s">
        <v>396</v>
      </c>
      <c r="I209" t="s">
        <v>482</v>
      </c>
      <c r="J209" t="s">
        <v>483</v>
      </c>
      <c r="K209" t="s">
        <v>484</v>
      </c>
      <c r="L209" t="s">
        <v>485</v>
      </c>
      <c r="M209" t="s">
        <v>486</v>
      </c>
      <c r="N209" t="s">
        <v>487</v>
      </c>
      <c r="O209" t="s">
        <v>630</v>
      </c>
      <c r="Q209" t="s">
        <v>488</v>
      </c>
      <c r="S209">
        <v>39685</v>
      </c>
      <c r="T209" t="s">
        <v>1003</v>
      </c>
      <c r="U209" t="s">
        <v>1004</v>
      </c>
      <c r="V209">
        <v>39.08</v>
      </c>
      <c r="W209">
        <v>1</v>
      </c>
      <c r="X209">
        <v>23788.5</v>
      </c>
      <c r="Z209" t="s">
        <v>491</v>
      </c>
      <c r="AA209" t="s">
        <v>491</v>
      </c>
      <c r="AB209" t="s">
        <v>491</v>
      </c>
      <c r="AC209" t="s">
        <v>491</v>
      </c>
      <c r="AD209" t="s">
        <v>492</v>
      </c>
      <c r="AE209" t="s">
        <v>492</v>
      </c>
      <c r="AF209">
        <v>2</v>
      </c>
      <c r="AG209">
        <v>3</v>
      </c>
      <c r="AH209">
        <v>2</v>
      </c>
      <c r="AI209">
        <v>0</v>
      </c>
      <c r="AJ209">
        <v>0</v>
      </c>
      <c r="AK209">
        <v>0</v>
      </c>
      <c r="AL209">
        <v>2</v>
      </c>
      <c r="AM209">
        <v>1</v>
      </c>
      <c r="AN209" t="s">
        <v>519</v>
      </c>
      <c r="AO209" t="s">
        <v>494</v>
      </c>
      <c r="AP209">
        <v>17</v>
      </c>
      <c r="AQ209" t="s">
        <v>495</v>
      </c>
      <c r="AR209" t="s">
        <v>496</v>
      </c>
      <c r="AS209">
        <v>4</v>
      </c>
      <c r="AT209" t="s">
        <v>497</v>
      </c>
      <c r="AU209" t="s">
        <v>1247</v>
      </c>
      <c r="AV209" t="s">
        <v>498</v>
      </c>
      <c r="AW209" t="s">
        <v>1249</v>
      </c>
      <c r="AX209">
        <v>44.794701119999999</v>
      </c>
      <c r="AY209">
        <v>-68.766163859999992</v>
      </c>
      <c r="AZ209">
        <v>9</v>
      </c>
      <c r="BA209" t="s">
        <v>601</v>
      </c>
      <c r="BB209" t="s">
        <v>501</v>
      </c>
      <c r="BC209">
        <v>3111001</v>
      </c>
      <c r="BD209">
        <v>4</v>
      </c>
      <c r="BE209" t="s">
        <v>502</v>
      </c>
      <c r="BF209" t="s">
        <v>503</v>
      </c>
      <c r="BG209" t="s">
        <v>504</v>
      </c>
      <c r="BH209" t="s">
        <v>505</v>
      </c>
      <c r="BI209">
        <v>152174</v>
      </c>
      <c r="BJ209">
        <v>0</v>
      </c>
    </row>
    <row r="210" spans="1:62" x14ac:dyDescent="0.35">
      <c r="A210" t="s">
        <v>1001</v>
      </c>
      <c r="B210" t="s">
        <v>1250</v>
      </c>
      <c r="C210" s="292">
        <v>43299</v>
      </c>
      <c r="D210" t="s">
        <v>479</v>
      </c>
      <c r="E210" t="s">
        <v>574</v>
      </c>
      <c r="F210" t="s">
        <v>1251</v>
      </c>
      <c r="G210">
        <v>2018</v>
      </c>
      <c r="H210" t="s">
        <v>396</v>
      </c>
      <c r="I210" t="s">
        <v>482</v>
      </c>
      <c r="J210" t="s">
        <v>510</v>
      </c>
      <c r="K210" t="s">
        <v>484</v>
      </c>
      <c r="L210" t="s">
        <v>485</v>
      </c>
      <c r="M210" t="s">
        <v>486</v>
      </c>
      <c r="N210" t="s">
        <v>487</v>
      </c>
      <c r="O210" t="s">
        <v>488</v>
      </c>
      <c r="Q210" t="s">
        <v>496</v>
      </c>
      <c r="S210">
        <v>39685</v>
      </c>
      <c r="T210" t="s">
        <v>1003</v>
      </c>
      <c r="U210" t="s">
        <v>1004</v>
      </c>
      <c r="V210">
        <v>39.08</v>
      </c>
      <c r="W210">
        <v>1</v>
      </c>
      <c r="X210">
        <v>23788.5</v>
      </c>
      <c r="Z210" t="s">
        <v>491</v>
      </c>
      <c r="AA210" t="s">
        <v>491</v>
      </c>
      <c r="AB210" t="s">
        <v>491</v>
      </c>
      <c r="AC210" t="s">
        <v>491</v>
      </c>
      <c r="AD210" t="s">
        <v>492</v>
      </c>
      <c r="AE210" t="s">
        <v>492</v>
      </c>
      <c r="AF210">
        <v>2</v>
      </c>
      <c r="AG210">
        <v>2</v>
      </c>
      <c r="AH210">
        <v>0</v>
      </c>
      <c r="AI210">
        <v>0</v>
      </c>
      <c r="AJ210">
        <v>0</v>
      </c>
      <c r="AK210">
        <v>0</v>
      </c>
      <c r="AL210">
        <v>0</v>
      </c>
      <c r="AM210">
        <v>2</v>
      </c>
      <c r="AN210" t="s">
        <v>493</v>
      </c>
      <c r="AO210" t="s">
        <v>494</v>
      </c>
      <c r="AP210">
        <v>19</v>
      </c>
      <c r="AQ210" t="s">
        <v>495</v>
      </c>
      <c r="AR210" t="s">
        <v>496</v>
      </c>
      <c r="AS210">
        <v>4</v>
      </c>
      <c r="AT210" t="s">
        <v>497</v>
      </c>
      <c r="AU210" t="s">
        <v>1250</v>
      </c>
      <c r="AV210" t="s">
        <v>498</v>
      </c>
      <c r="AW210" t="s">
        <v>1252</v>
      </c>
      <c r="AX210">
        <v>44.794701119999999</v>
      </c>
      <c r="AY210">
        <v>-68.766163859999992</v>
      </c>
      <c r="AZ210">
        <v>7</v>
      </c>
      <c r="BA210" t="s">
        <v>500</v>
      </c>
      <c r="BB210" t="s">
        <v>501</v>
      </c>
      <c r="BC210">
        <v>3111001</v>
      </c>
      <c r="BD210">
        <v>4</v>
      </c>
      <c r="BE210" t="s">
        <v>502</v>
      </c>
      <c r="BF210" t="s">
        <v>503</v>
      </c>
      <c r="BG210" t="s">
        <v>504</v>
      </c>
      <c r="BH210" t="s">
        <v>505</v>
      </c>
      <c r="BI210">
        <v>155432</v>
      </c>
      <c r="BJ210">
        <v>0</v>
      </c>
    </row>
    <row r="211" spans="1:62" x14ac:dyDescent="0.35">
      <c r="A211" t="s">
        <v>1001</v>
      </c>
      <c r="B211" t="s">
        <v>1253</v>
      </c>
      <c r="C211" s="292">
        <v>45776</v>
      </c>
      <c r="D211" t="s">
        <v>479</v>
      </c>
      <c r="E211" t="s">
        <v>480</v>
      </c>
      <c r="F211" t="s">
        <v>1062</v>
      </c>
      <c r="G211">
        <v>2025</v>
      </c>
      <c r="H211" t="s">
        <v>396</v>
      </c>
      <c r="I211" t="s">
        <v>482</v>
      </c>
      <c r="J211" t="s">
        <v>510</v>
      </c>
      <c r="K211" t="s">
        <v>484</v>
      </c>
      <c r="L211" t="s">
        <v>485</v>
      </c>
      <c r="M211" t="s">
        <v>486</v>
      </c>
      <c r="N211" t="s">
        <v>487</v>
      </c>
      <c r="O211" t="s">
        <v>564</v>
      </c>
      <c r="Q211" t="s">
        <v>488</v>
      </c>
      <c r="S211">
        <v>39685</v>
      </c>
      <c r="T211" t="s">
        <v>1003</v>
      </c>
      <c r="U211" t="s">
        <v>1004</v>
      </c>
      <c r="V211">
        <v>39.08</v>
      </c>
      <c r="W211">
        <v>1</v>
      </c>
      <c r="X211">
        <v>23788.5</v>
      </c>
      <c r="Z211" t="s">
        <v>491</v>
      </c>
      <c r="AA211" t="s">
        <v>491</v>
      </c>
      <c r="AC211" t="s">
        <v>491</v>
      </c>
      <c r="AD211" t="s">
        <v>492</v>
      </c>
      <c r="AE211" t="s">
        <v>492</v>
      </c>
      <c r="AF211">
        <v>2</v>
      </c>
      <c r="AG211">
        <v>2</v>
      </c>
      <c r="AH211">
        <v>0</v>
      </c>
      <c r="AI211">
        <v>0</v>
      </c>
      <c r="AJ211">
        <v>0</v>
      </c>
      <c r="AK211">
        <v>0</v>
      </c>
      <c r="AL211">
        <v>0</v>
      </c>
      <c r="AM211">
        <v>2</v>
      </c>
      <c r="AN211" t="s">
        <v>493</v>
      </c>
      <c r="AO211" t="s">
        <v>494</v>
      </c>
      <c r="AP211">
        <v>16</v>
      </c>
      <c r="AQ211" t="s">
        <v>495</v>
      </c>
      <c r="AR211" t="s">
        <v>496</v>
      </c>
      <c r="AS211">
        <v>3</v>
      </c>
      <c r="AT211" t="s">
        <v>497</v>
      </c>
      <c r="AU211" t="s">
        <v>1253</v>
      </c>
      <c r="AV211" t="s">
        <v>498</v>
      </c>
      <c r="AW211" t="s">
        <v>1254</v>
      </c>
      <c r="AX211">
        <v>44.794701119999999</v>
      </c>
      <c r="AY211">
        <v>-68.766163859999992</v>
      </c>
      <c r="AZ211">
        <v>4</v>
      </c>
      <c r="BA211" t="s">
        <v>606</v>
      </c>
      <c r="BB211" t="s">
        <v>501</v>
      </c>
      <c r="BC211">
        <v>3111001</v>
      </c>
      <c r="BD211">
        <v>4</v>
      </c>
      <c r="BE211" t="s">
        <v>502</v>
      </c>
      <c r="BF211" t="s">
        <v>503</v>
      </c>
      <c r="BG211" t="s">
        <v>504</v>
      </c>
      <c r="BH211" t="s">
        <v>505</v>
      </c>
      <c r="BI211">
        <v>158047</v>
      </c>
      <c r="BJ211">
        <v>0</v>
      </c>
    </row>
    <row r="212" spans="1:62" x14ac:dyDescent="0.35">
      <c r="A212" t="s">
        <v>1001</v>
      </c>
      <c r="B212" t="s">
        <v>1255</v>
      </c>
      <c r="C212" s="292">
        <v>43961</v>
      </c>
      <c r="D212" t="s">
        <v>479</v>
      </c>
      <c r="E212" t="s">
        <v>594</v>
      </c>
      <c r="F212" t="s">
        <v>1256</v>
      </c>
      <c r="G212">
        <v>2020</v>
      </c>
      <c r="H212" t="s">
        <v>396</v>
      </c>
      <c r="I212" t="s">
        <v>532</v>
      </c>
      <c r="J212" t="s">
        <v>645</v>
      </c>
      <c r="K212" t="s">
        <v>1257</v>
      </c>
      <c r="L212" t="s">
        <v>485</v>
      </c>
      <c r="M212" t="s">
        <v>486</v>
      </c>
      <c r="O212" t="s">
        <v>564</v>
      </c>
      <c r="T212" t="s">
        <v>1003</v>
      </c>
      <c r="U212" t="s">
        <v>1004</v>
      </c>
      <c r="V212">
        <v>39.01</v>
      </c>
      <c r="W212">
        <v>1</v>
      </c>
      <c r="X212">
        <v>14970</v>
      </c>
      <c r="Y212">
        <v>25</v>
      </c>
      <c r="Z212" t="s">
        <v>491</v>
      </c>
      <c r="AA212" t="s">
        <v>491</v>
      </c>
      <c r="AB212" t="s">
        <v>491</v>
      </c>
      <c r="AC212" t="s">
        <v>491</v>
      </c>
      <c r="AD212" t="s">
        <v>492</v>
      </c>
      <c r="AE212" t="s">
        <v>492</v>
      </c>
      <c r="AF212">
        <v>1</v>
      </c>
      <c r="AG212">
        <v>2</v>
      </c>
      <c r="AH212">
        <v>1</v>
      </c>
      <c r="AI212">
        <v>0</v>
      </c>
      <c r="AJ212">
        <v>0</v>
      </c>
      <c r="AK212">
        <v>0</v>
      </c>
      <c r="AL212">
        <v>1</v>
      </c>
      <c r="AM212">
        <v>1</v>
      </c>
      <c r="AN212" t="s">
        <v>519</v>
      </c>
      <c r="AO212" t="s">
        <v>494</v>
      </c>
      <c r="AP212">
        <v>4</v>
      </c>
      <c r="AQ212" t="s">
        <v>396</v>
      </c>
      <c r="AR212" t="s">
        <v>558</v>
      </c>
      <c r="AS212">
        <v>1</v>
      </c>
      <c r="AT212" t="s">
        <v>497</v>
      </c>
      <c r="AU212" t="s">
        <v>1255</v>
      </c>
      <c r="AV212" t="s">
        <v>498</v>
      </c>
      <c r="AW212" t="s">
        <v>1258</v>
      </c>
      <c r="AX212">
        <v>44.795459999999999</v>
      </c>
      <c r="AY212">
        <v>-68.767150000000001</v>
      </c>
      <c r="AZ212">
        <v>5</v>
      </c>
      <c r="BA212" t="s">
        <v>597</v>
      </c>
      <c r="BB212" t="s">
        <v>501</v>
      </c>
      <c r="BC212">
        <v>3111002</v>
      </c>
      <c r="BD212">
        <v>4</v>
      </c>
      <c r="BE212" t="s">
        <v>502</v>
      </c>
      <c r="BF212" t="s">
        <v>503</v>
      </c>
      <c r="BG212" t="s">
        <v>504</v>
      </c>
      <c r="BH212" t="s">
        <v>560</v>
      </c>
      <c r="BI212">
        <v>159301</v>
      </c>
      <c r="BJ212">
        <v>7.0000000000000007E-2</v>
      </c>
    </row>
    <row r="213" spans="1:62" x14ac:dyDescent="0.35">
      <c r="A213" t="s">
        <v>1001</v>
      </c>
      <c r="B213" t="s">
        <v>1259</v>
      </c>
      <c r="C213" s="292">
        <v>45884</v>
      </c>
      <c r="D213" t="s">
        <v>479</v>
      </c>
      <c r="E213" t="s">
        <v>507</v>
      </c>
      <c r="F213" t="s">
        <v>1260</v>
      </c>
      <c r="G213">
        <v>2025</v>
      </c>
      <c r="H213" t="s">
        <v>396</v>
      </c>
      <c r="I213" t="s">
        <v>509</v>
      </c>
      <c r="J213" t="s">
        <v>510</v>
      </c>
      <c r="K213" t="s">
        <v>556</v>
      </c>
      <c r="L213" t="s">
        <v>485</v>
      </c>
      <c r="M213" t="s">
        <v>486</v>
      </c>
      <c r="N213" t="s">
        <v>492</v>
      </c>
      <c r="O213" t="s">
        <v>511</v>
      </c>
      <c r="Q213" t="s">
        <v>488</v>
      </c>
      <c r="T213" t="s">
        <v>1003</v>
      </c>
      <c r="U213" t="s">
        <v>1004</v>
      </c>
      <c r="V213">
        <v>39.31</v>
      </c>
      <c r="W213">
        <v>1</v>
      </c>
      <c r="X213">
        <v>8737</v>
      </c>
      <c r="Y213">
        <v>25</v>
      </c>
      <c r="Z213" t="s">
        <v>491</v>
      </c>
      <c r="AA213" t="s">
        <v>491</v>
      </c>
      <c r="AC213" t="s">
        <v>491</v>
      </c>
      <c r="AD213" t="s">
        <v>492</v>
      </c>
      <c r="AE213" t="s">
        <v>492</v>
      </c>
      <c r="AF213">
        <v>2</v>
      </c>
      <c r="AG213">
        <v>6</v>
      </c>
      <c r="AH213">
        <v>0</v>
      </c>
      <c r="AI213">
        <v>0</v>
      </c>
      <c r="AJ213">
        <v>0</v>
      </c>
      <c r="AK213">
        <v>0</v>
      </c>
      <c r="AL213">
        <v>0</v>
      </c>
      <c r="AM213">
        <v>6</v>
      </c>
      <c r="AN213" t="s">
        <v>493</v>
      </c>
      <c r="AO213" t="s">
        <v>494</v>
      </c>
      <c r="AP213">
        <v>18</v>
      </c>
      <c r="AQ213" t="s">
        <v>396</v>
      </c>
      <c r="AR213" t="s">
        <v>558</v>
      </c>
      <c r="AS213">
        <v>6</v>
      </c>
      <c r="AT213" t="s">
        <v>497</v>
      </c>
      <c r="AU213" t="s">
        <v>1259</v>
      </c>
      <c r="AV213" t="s">
        <v>498</v>
      </c>
      <c r="AW213" t="s">
        <v>1261</v>
      </c>
      <c r="AX213">
        <v>44.792630449999997</v>
      </c>
      <c r="AY213">
        <v>-68.762553130000001</v>
      </c>
      <c r="AZ213">
        <v>8</v>
      </c>
      <c r="BA213" t="s">
        <v>667</v>
      </c>
      <c r="BB213" t="s">
        <v>501</v>
      </c>
      <c r="BC213">
        <v>3944111</v>
      </c>
      <c r="BD213">
        <v>4</v>
      </c>
      <c r="BE213" t="s">
        <v>502</v>
      </c>
      <c r="BF213" t="s">
        <v>503</v>
      </c>
      <c r="BG213" t="s">
        <v>504</v>
      </c>
      <c r="BH213" t="s">
        <v>560</v>
      </c>
      <c r="BI213">
        <v>159937</v>
      </c>
      <c r="BJ213">
        <v>0.14000000000000001</v>
      </c>
    </row>
    <row r="214" spans="1:62" x14ac:dyDescent="0.35">
      <c r="A214" t="s">
        <v>1001</v>
      </c>
      <c r="B214" t="s">
        <v>1262</v>
      </c>
      <c r="C214" s="292">
        <v>45863</v>
      </c>
      <c r="D214" t="s">
        <v>479</v>
      </c>
      <c r="E214" t="s">
        <v>507</v>
      </c>
      <c r="F214" t="s">
        <v>1263</v>
      </c>
      <c r="G214">
        <v>2025</v>
      </c>
      <c r="H214" t="s">
        <v>396</v>
      </c>
      <c r="I214" t="s">
        <v>482</v>
      </c>
      <c r="J214" t="s">
        <v>510</v>
      </c>
      <c r="K214" t="s">
        <v>484</v>
      </c>
      <c r="L214" t="s">
        <v>485</v>
      </c>
      <c r="M214" t="s">
        <v>486</v>
      </c>
      <c r="N214" t="s">
        <v>492</v>
      </c>
      <c r="O214" t="s">
        <v>553</v>
      </c>
      <c r="Q214" t="s">
        <v>488</v>
      </c>
      <c r="S214">
        <v>39685</v>
      </c>
      <c r="T214" t="s">
        <v>1003</v>
      </c>
      <c r="U214" t="s">
        <v>1004</v>
      </c>
      <c r="V214">
        <v>39.08</v>
      </c>
      <c r="W214">
        <v>1</v>
      </c>
      <c r="X214">
        <v>23788.5</v>
      </c>
      <c r="Z214" t="s">
        <v>491</v>
      </c>
      <c r="AA214" t="s">
        <v>491</v>
      </c>
      <c r="AC214" t="s">
        <v>491</v>
      </c>
      <c r="AD214" t="s">
        <v>492</v>
      </c>
      <c r="AE214" t="s">
        <v>492</v>
      </c>
      <c r="AF214">
        <v>3</v>
      </c>
      <c r="AG214">
        <v>7</v>
      </c>
      <c r="AH214">
        <v>0</v>
      </c>
      <c r="AI214">
        <v>0</v>
      </c>
      <c r="AJ214">
        <v>0</v>
      </c>
      <c r="AK214">
        <v>0</v>
      </c>
      <c r="AL214">
        <v>0</v>
      </c>
      <c r="AM214">
        <v>7</v>
      </c>
      <c r="AN214" t="s">
        <v>493</v>
      </c>
      <c r="AO214" t="s">
        <v>494</v>
      </c>
      <c r="AP214">
        <v>9</v>
      </c>
      <c r="AQ214" t="s">
        <v>495</v>
      </c>
      <c r="AR214" t="s">
        <v>496</v>
      </c>
      <c r="AS214">
        <v>6</v>
      </c>
      <c r="AT214" t="s">
        <v>497</v>
      </c>
      <c r="AU214" t="s">
        <v>1262</v>
      </c>
      <c r="AV214" t="s">
        <v>498</v>
      </c>
      <c r="AW214" t="s">
        <v>1264</v>
      </c>
      <c r="AX214">
        <v>44.794701119999999</v>
      </c>
      <c r="AY214">
        <v>-68.766163859999992</v>
      </c>
      <c r="AZ214">
        <v>7</v>
      </c>
      <c r="BA214" t="s">
        <v>500</v>
      </c>
      <c r="BB214" t="s">
        <v>501</v>
      </c>
      <c r="BC214">
        <v>3111001</v>
      </c>
      <c r="BD214">
        <v>4</v>
      </c>
      <c r="BE214" t="s">
        <v>502</v>
      </c>
      <c r="BF214" t="s">
        <v>503</v>
      </c>
      <c r="BG214" t="s">
        <v>504</v>
      </c>
      <c r="BH214" t="s">
        <v>505</v>
      </c>
      <c r="BI214">
        <v>169312</v>
      </c>
      <c r="BJ214">
        <v>0</v>
      </c>
    </row>
    <row r="215" spans="1:62" x14ac:dyDescent="0.35">
      <c r="A215" t="s">
        <v>1001</v>
      </c>
      <c r="B215" t="s">
        <v>1265</v>
      </c>
      <c r="C215" s="292">
        <v>43115</v>
      </c>
      <c r="D215" t="s">
        <v>479</v>
      </c>
      <c r="E215" t="s">
        <v>523</v>
      </c>
      <c r="F215" t="s">
        <v>1266</v>
      </c>
      <c r="G215">
        <v>2018</v>
      </c>
      <c r="H215" t="s">
        <v>396</v>
      </c>
      <c r="I215" t="s">
        <v>532</v>
      </c>
      <c r="J215" t="s">
        <v>185</v>
      </c>
      <c r="K215" t="s">
        <v>484</v>
      </c>
      <c r="L215" t="s">
        <v>661</v>
      </c>
      <c r="M215" t="s">
        <v>486</v>
      </c>
      <c r="N215" t="s">
        <v>487</v>
      </c>
      <c r="Q215" t="s">
        <v>488</v>
      </c>
      <c r="S215">
        <v>39685</v>
      </c>
      <c r="T215" t="s">
        <v>1003</v>
      </c>
      <c r="U215" t="s">
        <v>1004</v>
      </c>
      <c r="V215">
        <v>39.08</v>
      </c>
      <c r="W215">
        <v>1</v>
      </c>
      <c r="X215">
        <v>23788.5</v>
      </c>
      <c r="Z215" t="s">
        <v>491</v>
      </c>
      <c r="AA215" t="s">
        <v>646</v>
      </c>
      <c r="AB215" t="s">
        <v>491</v>
      </c>
      <c r="AC215" t="s">
        <v>491</v>
      </c>
      <c r="AD215" t="s">
        <v>492</v>
      </c>
      <c r="AE215" t="s">
        <v>492</v>
      </c>
      <c r="AF215">
        <v>2</v>
      </c>
      <c r="AG215">
        <v>2</v>
      </c>
      <c r="AH215">
        <v>1</v>
      </c>
      <c r="AI215">
        <v>0</v>
      </c>
      <c r="AJ215">
        <v>0</v>
      </c>
      <c r="AK215">
        <v>1</v>
      </c>
      <c r="AL215">
        <v>0</v>
      </c>
      <c r="AM215">
        <v>1</v>
      </c>
      <c r="AN215" t="s">
        <v>685</v>
      </c>
      <c r="AO215" t="s">
        <v>494</v>
      </c>
      <c r="AP215">
        <v>17</v>
      </c>
      <c r="AQ215" t="s">
        <v>495</v>
      </c>
      <c r="AR215" t="s">
        <v>496</v>
      </c>
      <c r="AS215">
        <v>2</v>
      </c>
      <c r="AT215" t="s">
        <v>497</v>
      </c>
      <c r="AU215" t="s">
        <v>1267</v>
      </c>
      <c r="AV215" t="s">
        <v>498</v>
      </c>
      <c r="AW215" t="s">
        <v>1268</v>
      </c>
      <c r="AX215">
        <v>44.794701119999999</v>
      </c>
      <c r="AY215">
        <v>-68.766163859999992</v>
      </c>
      <c r="AZ215">
        <v>1</v>
      </c>
      <c r="BA215" t="s">
        <v>514</v>
      </c>
      <c r="BB215" t="s">
        <v>501</v>
      </c>
      <c r="BC215">
        <v>3111001</v>
      </c>
      <c r="BD215">
        <v>4</v>
      </c>
      <c r="BE215" t="s">
        <v>502</v>
      </c>
      <c r="BF215" t="s">
        <v>503</v>
      </c>
      <c r="BG215" t="s">
        <v>504</v>
      </c>
      <c r="BH215" t="s">
        <v>505</v>
      </c>
      <c r="BI215">
        <v>172963</v>
      </c>
      <c r="BJ215">
        <v>0</v>
      </c>
    </row>
    <row r="216" spans="1:62" x14ac:dyDescent="0.35">
      <c r="A216" t="s">
        <v>1001</v>
      </c>
      <c r="B216" t="s">
        <v>1269</v>
      </c>
      <c r="C216" s="292">
        <v>45735</v>
      </c>
      <c r="D216" t="s">
        <v>479</v>
      </c>
      <c r="E216" t="s">
        <v>574</v>
      </c>
      <c r="F216" t="s">
        <v>1270</v>
      </c>
      <c r="G216">
        <v>2025</v>
      </c>
      <c r="H216" t="s">
        <v>396</v>
      </c>
      <c r="I216" t="s">
        <v>482</v>
      </c>
      <c r="J216" t="s">
        <v>510</v>
      </c>
      <c r="K216" t="s">
        <v>556</v>
      </c>
      <c r="L216" t="s">
        <v>485</v>
      </c>
      <c r="M216" t="s">
        <v>486</v>
      </c>
      <c r="O216" t="s">
        <v>553</v>
      </c>
      <c r="Q216" t="s">
        <v>488</v>
      </c>
      <c r="T216" t="s">
        <v>1003</v>
      </c>
      <c r="U216" t="s">
        <v>1004</v>
      </c>
      <c r="V216">
        <v>39.33</v>
      </c>
      <c r="W216">
        <v>1</v>
      </c>
      <c r="X216">
        <v>8737</v>
      </c>
      <c r="Y216">
        <v>25</v>
      </c>
      <c r="Z216" t="s">
        <v>491</v>
      </c>
      <c r="AA216" t="s">
        <v>491</v>
      </c>
      <c r="AC216" t="s">
        <v>491</v>
      </c>
      <c r="AD216" t="s">
        <v>492</v>
      </c>
      <c r="AE216" t="s">
        <v>492</v>
      </c>
      <c r="AF216">
        <v>2</v>
      </c>
      <c r="AG216">
        <v>2</v>
      </c>
      <c r="AH216">
        <v>0</v>
      </c>
      <c r="AI216">
        <v>0</v>
      </c>
      <c r="AJ216">
        <v>0</v>
      </c>
      <c r="AK216">
        <v>0</v>
      </c>
      <c r="AL216">
        <v>0</v>
      </c>
      <c r="AM216">
        <v>2</v>
      </c>
      <c r="AN216" t="s">
        <v>493</v>
      </c>
      <c r="AO216" t="s">
        <v>494</v>
      </c>
      <c r="AP216">
        <v>15</v>
      </c>
      <c r="AQ216" t="s">
        <v>396</v>
      </c>
      <c r="AR216" t="s">
        <v>558</v>
      </c>
      <c r="AS216">
        <v>4</v>
      </c>
      <c r="AT216" t="s">
        <v>497</v>
      </c>
      <c r="AU216" t="s">
        <v>1271</v>
      </c>
      <c r="AV216" t="s">
        <v>498</v>
      </c>
      <c r="AW216" t="s">
        <v>1272</v>
      </c>
      <c r="AX216">
        <v>44.792442860000001</v>
      </c>
      <c r="AY216">
        <v>-68.76232388999999</v>
      </c>
      <c r="AZ216">
        <v>3</v>
      </c>
      <c r="BA216" t="s">
        <v>622</v>
      </c>
      <c r="BB216" t="s">
        <v>501</v>
      </c>
      <c r="BC216">
        <v>3944111</v>
      </c>
      <c r="BD216">
        <v>4</v>
      </c>
      <c r="BE216" t="s">
        <v>502</v>
      </c>
      <c r="BF216" t="s">
        <v>503</v>
      </c>
      <c r="BG216" t="s">
        <v>504</v>
      </c>
      <c r="BH216" t="s">
        <v>560</v>
      </c>
      <c r="BI216">
        <v>174436</v>
      </c>
      <c r="BJ216">
        <v>0.12</v>
      </c>
    </row>
    <row r="217" spans="1:62" x14ac:dyDescent="0.35">
      <c r="A217" t="s">
        <v>1001</v>
      </c>
      <c r="B217" t="s">
        <v>1273</v>
      </c>
      <c r="C217" s="292">
        <v>45740</v>
      </c>
      <c r="D217" t="s">
        <v>479</v>
      </c>
      <c r="E217" t="s">
        <v>536</v>
      </c>
      <c r="F217" t="s">
        <v>1274</v>
      </c>
      <c r="G217">
        <v>2025</v>
      </c>
      <c r="H217" t="s">
        <v>724</v>
      </c>
      <c r="I217" t="s">
        <v>532</v>
      </c>
      <c r="J217" t="s">
        <v>483</v>
      </c>
      <c r="K217" t="s">
        <v>576</v>
      </c>
      <c r="L217" t="s">
        <v>590</v>
      </c>
      <c r="M217" t="s">
        <v>590</v>
      </c>
      <c r="O217" t="s">
        <v>985</v>
      </c>
      <c r="Q217" t="s">
        <v>488</v>
      </c>
      <c r="T217" t="s">
        <v>1003</v>
      </c>
      <c r="U217" t="s">
        <v>1004</v>
      </c>
      <c r="V217">
        <v>39.159999999999997</v>
      </c>
      <c r="W217">
        <v>1</v>
      </c>
      <c r="X217">
        <v>8494</v>
      </c>
      <c r="Y217">
        <v>25</v>
      </c>
      <c r="Z217" t="s">
        <v>491</v>
      </c>
      <c r="AA217" t="s">
        <v>491</v>
      </c>
      <c r="AC217" t="s">
        <v>491</v>
      </c>
      <c r="AD217" t="s">
        <v>492</v>
      </c>
      <c r="AE217" t="s">
        <v>492</v>
      </c>
      <c r="AF217">
        <v>2</v>
      </c>
      <c r="AG217">
        <v>2</v>
      </c>
      <c r="AH217">
        <v>0</v>
      </c>
      <c r="AI217">
        <v>0</v>
      </c>
      <c r="AJ217">
        <v>0</v>
      </c>
      <c r="AK217">
        <v>0</v>
      </c>
      <c r="AL217">
        <v>0</v>
      </c>
      <c r="AM217">
        <v>2</v>
      </c>
      <c r="AN217" t="s">
        <v>493</v>
      </c>
      <c r="AO217" t="s">
        <v>494</v>
      </c>
      <c r="AP217">
        <v>20</v>
      </c>
      <c r="AQ217" t="s">
        <v>396</v>
      </c>
      <c r="AR217" t="s">
        <v>558</v>
      </c>
      <c r="AS217">
        <v>2</v>
      </c>
      <c r="AT217" t="s">
        <v>497</v>
      </c>
      <c r="AU217" t="s">
        <v>1275</v>
      </c>
      <c r="AV217" t="s">
        <v>498</v>
      </c>
      <c r="AW217" t="s">
        <v>1276</v>
      </c>
      <c r="AX217">
        <v>44.794061789999994</v>
      </c>
      <c r="AY217">
        <v>-68.764781440000007</v>
      </c>
      <c r="AZ217">
        <v>3</v>
      </c>
      <c r="BA217" t="s">
        <v>622</v>
      </c>
      <c r="BB217" t="s">
        <v>501</v>
      </c>
      <c r="BC217">
        <v>3119550</v>
      </c>
      <c r="BD217">
        <v>4</v>
      </c>
      <c r="BE217" t="s">
        <v>502</v>
      </c>
      <c r="BF217" t="s">
        <v>503</v>
      </c>
      <c r="BG217" t="s">
        <v>504</v>
      </c>
      <c r="BH217" t="s">
        <v>560</v>
      </c>
      <c r="BI217">
        <v>174574</v>
      </c>
      <c r="BJ217">
        <v>0.08</v>
      </c>
    </row>
    <row r="218" spans="1:62" x14ac:dyDescent="0.35">
      <c r="A218" t="s">
        <v>1001</v>
      </c>
      <c r="B218" t="s">
        <v>1277</v>
      </c>
      <c r="C218" s="292">
        <v>45178</v>
      </c>
      <c r="D218" t="s">
        <v>479</v>
      </c>
      <c r="E218" t="s">
        <v>568</v>
      </c>
      <c r="F218" t="s">
        <v>1278</v>
      </c>
      <c r="G218">
        <v>2023</v>
      </c>
      <c r="H218" t="s">
        <v>396</v>
      </c>
      <c r="I218" t="s">
        <v>482</v>
      </c>
      <c r="J218" t="s">
        <v>510</v>
      </c>
      <c r="K218" t="s">
        <v>484</v>
      </c>
      <c r="L218" t="s">
        <v>485</v>
      </c>
      <c r="M218" t="s">
        <v>486</v>
      </c>
      <c r="N218" t="s">
        <v>487</v>
      </c>
      <c r="O218" t="s">
        <v>511</v>
      </c>
      <c r="Q218" t="s">
        <v>488</v>
      </c>
      <c r="S218">
        <v>39685</v>
      </c>
      <c r="T218" t="s">
        <v>1003</v>
      </c>
      <c r="U218" t="s">
        <v>1004</v>
      </c>
      <c r="V218">
        <v>39.08</v>
      </c>
      <c r="W218">
        <v>1</v>
      </c>
      <c r="X218">
        <v>23788.5</v>
      </c>
      <c r="Z218" t="s">
        <v>491</v>
      </c>
      <c r="AA218" t="s">
        <v>491</v>
      </c>
      <c r="AC218" t="s">
        <v>491</v>
      </c>
      <c r="AD218" t="s">
        <v>492</v>
      </c>
      <c r="AE218" t="s">
        <v>492</v>
      </c>
      <c r="AF218">
        <v>2</v>
      </c>
      <c r="AG218">
        <v>2</v>
      </c>
      <c r="AH218">
        <v>1</v>
      </c>
      <c r="AI218">
        <v>0</v>
      </c>
      <c r="AJ218">
        <v>0</v>
      </c>
      <c r="AK218">
        <v>0</v>
      </c>
      <c r="AL218">
        <v>1</v>
      </c>
      <c r="AM218">
        <v>1</v>
      </c>
      <c r="AN218" t="s">
        <v>519</v>
      </c>
      <c r="AO218" t="s">
        <v>494</v>
      </c>
      <c r="AP218">
        <v>13</v>
      </c>
      <c r="AQ218" t="s">
        <v>495</v>
      </c>
      <c r="AR218" t="s">
        <v>496</v>
      </c>
      <c r="AS218">
        <v>7</v>
      </c>
      <c r="AT218" t="s">
        <v>497</v>
      </c>
      <c r="AU218" t="s">
        <v>1277</v>
      </c>
      <c r="AV218" t="s">
        <v>498</v>
      </c>
      <c r="AW218" t="s">
        <v>1279</v>
      </c>
      <c r="AX218">
        <v>44.794701119999999</v>
      </c>
      <c r="AY218">
        <v>-68.766163859999992</v>
      </c>
      <c r="AZ218">
        <v>9</v>
      </c>
      <c r="BA218" t="s">
        <v>601</v>
      </c>
      <c r="BB218" t="s">
        <v>501</v>
      </c>
      <c r="BC218">
        <v>3111001</v>
      </c>
      <c r="BD218">
        <v>4</v>
      </c>
      <c r="BE218" t="s">
        <v>502</v>
      </c>
      <c r="BF218" t="s">
        <v>503</v>
      </c>
      <c r="BG218" t="s">
        <v>504</v>
      </c>
      <c r="BH218" t="s">
        <v>505</v>
      </c>
      <c r="BI218">
        <v>178956</v>
      </c>
      <c r="BJ218">
        <v>0</v>
      </c>
    </row>
    <row r="219" spans="1:62" x14ac:dyDescent="0.35">
      <c r="A219" t="s">
        <v>1001</v>
      </c>
      <c r="B219" t="s">
        <v>1280</v>
      </c>
      <c r="C219" s="292">
        <v>44839</v>
      </c>
      <c r="D219" t="s">
        <v>479</v>
      </c>
      <c r="E219" t="s">
        <v>574</v>
      </c>
      <c r="F219" t="s">
        <v>1281</v>
      </c>
      <c r="G219">
        <v>2022</v>
      </c>
      <c r="H219" t="s">
        <v>396</v>
      </c>
      <c r="I219" t="s">
        <v>482</v>
      </c>
      <c r="J219" t="s">
        <v>510</v>
      </c>
      <c r="K219" t="s">
        <v>525</v>
      </c>
      <c r="L219" t="s">
        <v>485</v>
      </c>
      <c r="M219" t="s">
        <v>486</v>
      </c>
      <c r="O219" t="s">
        <v>553</v>
      </c>
      <c r="Q219" t="s">
        <v>488</v>
      </c>
      <c r="S219">
        <v>60190</v>
      </c>
      <c r="T219" t="s">
        <v>1003</v>
      </c>
      <c r="U219" t="s">
        <v>1004</v>
      </c>
      <c r="V219">
        <v>39.9</v>
      </c>
      <c r="W219">
        <v>1</v>
      </c>
      <c r="X219">
        <v>9615</v>
      </c>
      <c r="Z219" t="s">
        <v>491</v>
      </c>
      <c r="AA219" t="s">
        <v>491</v>
      </c>
      <c r="AC219" t="s">
        <v>491</v>
      </c>
      <c r="AD219" t="s">
        <v>492</v>
      </c>
      <c r="AE219" t="s">
        <v>492</v>
      </c>
      <c r="AF219">
        <v>2</v>
      </c>
      <c r="AG219">
        <v>4</v>
      </c>
      <c r="AH219">
        <v>1</v>
      </c>
      <c r="AI219">
        <v>0</v>
      </c>
      <c r="AJ219">
        <v>0</v>
      </c>
      <c r="AK219">
        <v>0</v>
      </c>
      <c r="AL219">
        <v>1</v>
      </c>
      <c r="AM219">
        <v>3</v>
      </c>
      <c r="AN219" t="s">
        <v>519</v>
      </c>
      <c r="AO219" t="s">
        <v>494</v>
      </c>
      <c r="AP219">
        <v>13</v>
      </c>
      <c r="AQ219" t="s">
        <v>396</v>
      </c>
      <c r="AR219" t="s">
        <v>496</v>
      </c>
      <c r="AS219">
        <v>4</v>
      </c>
      <c r="AT219" t="s">
        <v>497</v>
      </c>
      <c r="AU219" t="s">
        <v>1280</v>
      </c>
      <c r="AV219" t="s">
        <v>498</v>
      </c>
      <c r="AW219" t="s">
        <v>1282</v>
      </c>
      <c r="AX219">
        <v>44.786212319999997</v>
      </c>
      <c r="AY219">
        <v>-68.754702559999998</v>
      </c>
      <c r="AZ219">
        <v>10</v>
      </c>
      <c r="BA219" t="s">
        <v>548</v>
      </c>
      <c r="BB219" t="s">
        <v>501</v>
      </c>
      <c r="BC219">
        <v>2071517</v>
      </c>
      <c r="BD219">
        <v>4</v>
      </c>
      <c r="BE219" t="s">
        <v>502</v>
      </c>
      <c r="BF219" t="s">
        <v>503</v>
      </c>
      <c r="BG219" t="s">
        <v>504</v>
      </c>
      <c r="BH219" t="s">
        <v>505</v>
      </c>
      <c r="BI219">
        <v>179704</v>
      </c>
      <c r="BJ219">
        <v>0</v>
      </c>
    </row>
    <row r="220" spans="1:62" x14ac:dyDescent="0.35">
      <c r="A220" t="s">
        <v>1001</v>
      </c>
      <c r="B220" t="s">
        <v>1283</v>
      </c>
      <c r="C220" s="292">
        <v>44115</v>
      </c>
      <c r="D220" t="s">
        <v>479</v>
      </c>
      <c r="E220" t="s">
        <v>594</v>
      </c>
      <c r="F220" t="s">
        <v>1284</v>
      </c>
      <c r="G220">
        <v>2020</v>
      </c>
      <c r="H220" t="s">
        <v>396</v>
      </c>
      <c r="I220" t="s">
        <v>482</v>
      </c>
      <c r="J220" t="s">
        <v>510</v>
      </c>
      <c r="K220" t="s">
        <v>556</v>
      </c>
      <c r="L220" t="s">
        <v>485</v>
      </c>
      <c r="M220" t="s">
        <v>486</v>
      </c>
      <c r="N220" t="s">
        <v>487</v>
      </c>
      <c r="O220" t="s">
        <v>564</v>
      </c>
      <c r="Q220" t="s">
        <v>488</v>
      </c>
      <c r="T220" t="s">
        <v>1003</v>
      </c>
      <c r="U220" t="s">
        <v>1004</v>
      </c>
      <c r="V220">
        <v>39.07</v>
      </c>
      <c r="W220">
        <v>1</v>
      </c>
      <c r="X220">
        <v>14970</v>
      </c>
      <c r="Y220">
        <v>25</v>
      </c>
      <c r="Z220" t="s">
        <v>491</v>
      </c>
      <c r="AA220" t="s">
        <v>491</v>
      </c>
      <c r="AB220" t="s">
        <v>491</v>
      </c>
      <c r="AC220" t="s">
        <v>491</v>
      </c>
      <c r="AD220" t="s">
        <v>492</v>
      </c>
      <c r="AE220" t="s">
        <v>492</v>
      </c>
      <c r="AF220">
        <v>2</v>
      </c>
      <c r="AG220">
        <v>5</v>
      </c>
      <c r="AH220">
        <v>0</v>
      </c>
      <c r="AI220">
        <v>0</v>
      </c>
      <c r="AJ220">
        <v>0</v>
      </c>
      <c r="AK220">
        <v>0</v>
      </c>
      <c r="AL220">
        <v>0</v>
      </c>
      <c r="AM220">
        <v>5</v>
      </c>
      <c r="AN220" t="s">
        <v>493</v>
      </c>
      <c r="AO220" t="s">
        <v>494</v>
      </c>
      <c r="AP220">
        <v>13</v>
      </c>
      <c r="AQ220" t="s">
        <v>495</v>
      </c>
      <c r="AR220" t="s">
        <v>558</v>
      </c>
      <c r="AS220">
        <v>1</v>
      </c>
      <c r="AT220" t="s">
        <v>497</v>
      </c>
      <c r="AU220" t="s">
        <v>1283</v>
      </c>
      <c r="AV220" t="s">
        <v>498</v>
      </c>
      <c r="AW220" t="s">
        <v>1285</v>
      </c>
      <c r="AX220">
        <v>44.794770380000003</v>
      </c>
      <c r="AY220">
        <v>-68.766257229999994</v>
      </c>
      <c r="AZ220">
        <v>10</v>
      </c>
      <c r="BA220" t="s">
        <v>548</v>
      </c>
      <c r="BB220" t="s">
        <v>501</v>
      </c>
      <c r="BC220">
        <v>3111002</v>
      </c>
      <c r="BD220">
        <v>4</v>
      </c>
      <c r="BE220" t="s">
        <v>502</v>
      </c>
      <c r="BF220" t="s">
        <v>503</v>
      </c>
      <c r="BG220" t="s">
        <v>504</v>
      </c>
      <c r="BH220" t="s">
        <v>560</v>
      </c>
      <c r="BI220">
        <v>182207</v>
      </c>
      <c r="BJ220">
        <v>0.01</v>
      </c>
    </row>
    <row r="221" spans="1:62" x14ac:dyDescent="0.35">
      <c r="A221" t="s">
        <v>1001</v>
      </c>
      <c r="B221" t="s">
        <v>1286</v>
      </c>
      <c r="C221" s="292">
        <v>43878</v>
      </c>
      <c r="D221" t="s">
        <v>479</v>
      </c>
      <c r="E221" t="s">
        <v>523</v>
      </c>
      <c r="F221" t="s">
        <v>1117</v>
      </c>
      <c r="G221">
        <v>2020</v>
      </c>
      <c r="H221" t="s">
        <v>396</v>
      </c>
      <c r="I221" t="s">
        <v>482</v>
      </c>
      <c r="J221" t="s">
        <v>510</v>
      </c>
      <c r="K221" t="s">
        <v>484</v>
      </c>
      <c r="L221" t="s">
        <v>485</v>
      </c>
      <c r="M221" t="s">
        <v>486</v>
      </c>
      <c r="N221" t="s">
        <v>487</v>
      </c>
      <c r="O221" t="s">
        <v>511</v>
      </c>
      <c r="Q221" t="s">
        <v>488</v>
      </c>
      <c r="S221">
        <v>39685</v>
      </c>
      <c r="T221" t="s">
        <v>1003</v>
      </c>
      <c r="U221" t="s">
        <v>1004</v>
      </c>
      <c r="V221">
        <v>39.08</v>
      </c>
      <c r="W221">
        <v>1</v>
      </c>
      <c r="X221">
        <v>23788.5</v>
      </c>
      <c r="Z221" t="s">
        <v>491</v>
      </c>
      <c r="AA221" t="s">
        <v>491</v>
      </c>
      <c r="AB221" t="s">
        <v>491</v>
      </c>
      <c r="AC221" t="s">
        <v>491</v>
      </c>
      <c r="AD221" t="s">
        <v>492</v>
      </c>
      <c r="AE221" t="s">
        <v>492</v>
      </c>
      <c r="AF221">
        <v>2</v>
      </c>
      <c r="AG221">
        <v>2</v>
      </c>
      <c r="AH221">
        <v>0</v>
      </c>
      <c r="AI221">
        <v>0</v>
      </c>
      <c r="AJ221">
        <v>0</v>
      </c>
      <c r="AK221">
        <v>0</v>
      </c>
      <c r="AL221">
        <v>0</v>
      </c>
      <c r="AM221">
        <v>2</v>
      </c>
      <c r="AN221" t="s">
        <v>493</v>
      </c>
      <c r="AO221" t="s">
        <v>494</v>
      </c>
      <c r="AP221">
        <v>12</v>
      </c>
      <c r="AQ221" t="s">
        <v>495</v>
      </c>
      <c r="AR221" t="s">
        <v>496</v>
      </c>
      <c r="AS221">
        <v>2</v>
      </c>
      <c r="AT221" t="s">
        <v>497</v>
      </c>
      <c r="AU221" t="s">
        <v>1287</v>
      </c>
      <c r="AV221" t="s">
        <v>498</v>
      </c>
      <c r="AW221" t="s">
        <v>1288</v>
      </c>
      <c r="AX221">
        <v>44.794701119999999</v>
      </c>
      <c r="AY221">
        <v>-68.766163859999992</v>
      </c>
      <c r="AZ221">
        <v>2</v>
      </c>
      <c r="BA221" t="s">
        <v>675</v>
      </c>
      <c r="BB221" t="s">
        <v>501</v>
      </c>
      <c r="BC221">
        <v>3111001</v>
      </c>
      <c r="BD221">
        <v>4</v>
      </c>
      <c r="BE221" t="s">
        <v>502</v>
      </c>
      <c r="BF221" t="s">
        <v>503</v>
      </c>
      <c r="BG221" t="s">
        <v>504</v>
      </c>
      <c r="BH221" t="s">
        <v>505</v>
      </c>
      <c r="BI221">
        <v>184432</v>
      </c>
      <c r="BJ221">
        <v>0</v>
      </c>
    </row>
    <row r="222" spans="1:62" x14ac:dyDescent="0.35">
      <c r="A222" t="s">
        <v>1001</v>
      </c>
      <c r="B222" t="s">
        <v>1289</v>
      </c>
      <c r="C222" s="292">
        <v>45875</v>
      </c>
      <c r="D222" t="s">
        <v>479</v>
      </c>
      <c r="E222" t="s">
        <v>574</v>
      </c>
      <c r="F222" t="s">
        <v>1290</v>
      </c>
      <c r="G222">
        <v>2025</v>
      </c>
      <c r="H222" t="s">
        <v>396</v>
      </c>
      <c r="I222" t="s">
        <v>482</v>
      </c>
      <c r="J222" t="s">
        <v>510</v>
      </c>
      <c r="K222" t="s">
        <v>525</v>
      </c>
      <c r="L222" t="s">
        <v>485</v>
      </c>
      <c r="M222" t="s">
        <v>486</v>
      </c>
      <c r="O222" t="s">
        <v>488</v>
      </c>
      <c r="Q222" t="s">
        <v>488</v>
      </c>
      <c r="S222">
        <v>38309</v>
      </c>
      <c r="T222" t="s">
        <v>1003</v>
      </c>
      <c r="U222" t="s">
        <v>1004</v>
      </c>
      <c r="V222">
        <v>39.840000000000003</v>
      </c>
      <c r="W222">
        <v>1</v>
      </c>
      <c r="X222">
        <v>9913.5</v>
      </c>
      <c r="Z222" t="s">
        <v>491</v>
      </c>
      <c r="AA222" t="s">
        <v>491</v>
      </c>
      <c r="AC222" t="s">
        <v>491</v>
      </c>
      <c r="AD222" t="s">
        <v>492</v>
      </c>
      <c r="AE222" t="s">
        <v>492</v>
      </c>
      <c r="AF222">
        <v>3</v>
      </c>
      <c r="AG222">
        <v>7</v>
      </c>
      <c r="AH222">
        <v>3</v>
      </c>
      <c r="AI222">
        <v>0</v>
      </c>
      <c r="AJ222">
        <v>0</v>
      </c>
      <c r="AK222">
        <v>0</v>
      </c>
      <c r="AL222">
        <v>3</v>
      </c>
      <c r="AM222">
        <v>4</v>
      </c>
      <c r="AN222" t="s">
        <v>519</v>
      </c>
      <c r="AO222" t="s">
        <v>494</v>
      </c>
      <c r="AP222">
        <v>12</v>
      </c>
      <c r="AQ222" t="s">
        <v>396</v>
      </c>
      <c r="AR222" t="s">
        <v>496</v>
      </c>
      <c r="AS222">
        <v>4</v>
      </c>
      <c r="AT222" t="s">
        <v>497</v>
      </c>
      <c r="AU222" t="s">
        <v>1289</v>
      </c>
      <c r="AV222" t="s">
        <v>498</v>
      </c>
      <c r="AW222" t="s">
        <v>1291</v>
      </c>
      <c r="AX222">
        <v>44.786902750000003</v>
      </c>
      <c r="AY222">
        <v>-68.75555507</v>
      </c>
      <c r="AZ222">
        <v>8</v>
      </c>
      <c r="BA222" t="s">
        <v>667</v>
      </c>
      <c r="BB222" t="s">
        <v>501</v>
      </c>
      <c r="BC222">
        <v>3115152</v>
      </c>
      <c r="BD222">
        <v>4</v>
      </c>
      <c r="BE222" t="s">
        <v>502</v>
      </c>
      <c r="BF222" t="s">
        <v>503</v>
      </c>
      <c r="BG222" t="s">
        <v>504</v>
      </c>
      <c r="BH222" t="s">
        <v>505</v>
      </c>
      <c r="BI222">
        <v>184965</v>
      </c>
      <c r="BJ222">
        <v>0</v>
      </c>
    </row>
    <row r="223" spans="1:62" x14ac:dyDescent="0.35">
      <c r="A223" t="s">
        <v>1001</v>
      </c>
      <c r="B223" t="s">
        <v>1292</v>
      </c>
      <c r="C223" s="292">
        <v>44834</v>
      </c>
      <c r="D223" t="s">
        <v>479</v>
      </c>
      <c r="E223" t="s">
        <v>549</v>
      </c>
      <c r="F223" t="s">
        <v>1013</v>
      </c>
      <c r="G223">
        <v>2022</v>
      </c>
      <c r="H223" t="s">
        <v>396</v>
      </c>
      <c r="I223" t="s">
        <v>482</v>
      </c>
      <c r="J223" t="s">
        <v>510</v>
      </c>
      <c r="K223" t="s">
        <v>484</v>
      </c>
      <c r="L223" t="s">
        <v>485</v>
      </c>
      <c r="M223" t="s">
        <v>486</v>
      </c>
      <c r="N223" t="s">
        <v>487</v>
      </c>
      <c r="O223" t="s">
        <v>511</v>
      </c>
      <c r="Q223" t="s">
        <v>488</v>
      </c>
      <c r="S223">
        <v>39685</v>
      </c>
      <c r="T223" t="s">
        <v>1003</v>
      </c>
      <c r="U223" t="s">
        <v>1004</v>
      </c>
      <c r="V223">
        <v>39.08</v>
      </c>
      <c r="W223">
        <v>1</v>
      </c>
      <c r="X223">
        <v>23788.5</v>
      </c>
      <c r="Z223" t="s">
        <v>491</v>
      </c>
      <c r="AA223" t="s">
        <v>491</v>
      </c>
      <c r="AC223" t="s">
        <v>491</v>
      </c>
      <c r="AD223" t="s">
        <v>492</v>
      </c>
      <c r="AE223" t="s">
        <v>492</v>
      </c>
      <c r="AF223">
        <v>2</v>
      </c>
      <c r="AG223">
        <v>3</v>
      </c>
      <c r="AH223">
        <v>2</v>
      </c>
      <c r="AI223">
        <v>0</v>
      </c>
      <c r="AJ223">
        <v>0</v>
      </c>
      <c r="AK223">
        <v>0</v>
      </c>
      <c r="AL223">
        <v>2</v>
      </c>
      <c r="AM223">
        <v>1</v>
      </c>
      <c r="AN223" t="s">
        <v>519</v>
      </c>
      <c r="AO223" t="s">
        <v>494</v>
      </c>
      <c r="AP223">
        <v>17</v>
      </c>
      <c r="AQ223" t="s">
        <v>495</v>
      </c>
      <c r="AR223" t="s">
        <v>496</v>
      </c>
      <c r="AS223">
        <v>6</v>
      </c>
      <c r="AT223" t="s">
        <v>497</v>
      </c>
      <c r="AU223" t="s">
        <v>1292</v>
      </c>
      <c r="AV223" t="s">
        <v>498</v>
      </c>
      <c r="AW223" t="s">
        <v>1293</v>
      </c>
      <c r="AX223">
        <v>44.794701119999999</v>
      </c>
      <c r="AY223">
        <v>-68.766163859999992</v>
      </c>
      <c r="AZ223">
        <v>9</v>
      </c>
      <c r="BA223" t="s">
        <v>601</v>
      </c>
      <c r="BB223" t="s">
        <v>501</v>
      </c>
      <c r="BC223">
        <v>3111001</v>
      </c>
      <c r="BD223">
        <v>4</v>
      </c>
      <c r="BE223" t="s">
        <v>502</v>
      </c>
      <c r="BF223" t="s">
        <v>503</v>
      </c>
      <c r="BG223" t="s">
        <v>504</v>
      </c>
      <c r="BH223" t="s">
        <v>505</v>
      </c>
      <c r="BI223">
        <v>185168</v>
      </c>
      <c r="BJ223">
        <v>0</v>
      </c>
    </row>
    <row r="224" spans="1:62" x14ac:dyDescent="0.35">
      <c r="A224" t="s">
        <v>1001</v>
      </c>
      <c r="B224" t="s">
        <v>1294</v>
      </c>
      <c r="C224" s="292">
        <v>45865</v>
      </c>
      <c r="D224" t="s">
        <v>479</v>
      </c>
      <c r="E224" t="s">
        <v>715</v>
      </c>
      <c r="F224" t="s">
        <v>1295</v>
      </c>
      <c r="G224">
        <v>2025</v>
      </c>
      <c r="H224" t="s">
        <v>396</v>
      </c>
      <c r="I224" t="s">
        <v>482</v>
      </c>
      <c r="J224" t="s">
        <v>510</v>
      </c>
      <c r="K224" t="s">
        <v>484</v>
      </c>
      <c r="L224" t="s">
        <v>485</v>
      </c>
      <c r="M224" t="s">
        <v>563</v>
      </c>
      <c r="N224" t="s">
        <v>496</v>
      </c>
      <c r="O224" t="s">
        <v>488</v>
      </c>
      <c r="Q224" t="s">
        <v>488</v>
      </c>
      <c r="S224">
        <v>39685</v>
      </c>
      <c r="T224" t="s">
        <v>1003</v>
      </c>
      <c r="U224" t="s">
        <v>1004</v>
      </c>
      <c r="V224">
        <v>39.08</v>
      </c>
      <c r="W224">
        <v>1</v>
      </c>
      <c r="X224">
        <v>23788.5</v>
      </c>
      <c r="Z224" t="s">
        <v>491</v>
      </c>
      <c r="AA224" t="s">
        <v>491</v>
      </c>
      <c r="AC224" t="s">
        <v>491</v>
      </c>
      <c r="AD224" t="s">
        <v>492</v>
      </c>
      <c r="AE224" t="s">
        <v>492</v>
      </c>
      <c r="AF224">
        <v>2</v>
      </c>
      <c r="AG224">
        <v>2</v>
      </c>
      <c r="AH224">
        <v>0</v>
      </c>
      <c r="AI224">
        <v>0</v>
      </c>
      <c r="AJ224">
        <v>0</v>
      </c>
      <c r="AK224">
        <v>0</v>
      </c>
      <c r="AL224">
        <v>0</v>
      </c>
      <c r="AM224">
        <v>2</v>
      </c>
      <c r="AN224" t="s">
        <v>493</v>
      </c>
      <c r="AO224" t="s">
        <v>494</v>
      </c>
      <c r="AP224">
        <v>14</v>
      </c>
      <c r="AQ224" t="s">
        <v>495</v>
      </c>
      <c r="AR224" t="s">
        <v>496</v>
      </c>
      <c r="AS224">
        <v>1</v>
      </c>
      <c r="AT224" t="s">
        <v>497</v>
      </c>
      <c r="AU224" t="s">
        <v>1294</v>
      </c>
      <c r="AV224" t="s">
        <v>498</v>
      </c>
      <c r="AW224" t="s">
        <v>1296</v>
      </c>
      <c r="AX224">
        <v>44.794701119999999</v>
      </c>
      <c r="AY224">
        <v>-68.766163859999992</v>
      </c>
      <c r="AZ224">
        <v>7</v>
      </c>
      <c r="BA224" t="s">
        <v>500</v>
      </c>
      <c r="BB224" t="s">
        <v>501</v>
      </c>
      <c r="BC224">
        <v>3111001</v>
      </c>
      <c r="BD224">
        <v>4</v>
      </c>
      <c r="BE224" t="s">
        <v>502</v>
      </c>
      <c r="BF224" t="s">
        <v>503</v>
      </c>
      <c r="BG224" t="s">
        <v>504</v>
      </c>
      <c r="BH224" t="s">
        <v>505</v>
      </c>
      <c r="BI224">
        <v>185978</v>
      </c>
      <c r="BJ224">
        <v>0</v>
      </c>
    </row>
    <row r="225" spans="1:62" x14ac:dyDescent="0.35">
      <c r="A225" t="s">
        <v>1001</v>
      </c>
      <c r="B225" t="s">
        <v>1297</v>
      </c>
      <c r="C225" s="292">
        <v>43564</v>
      </c>
      <c r="D225" t="s">
        <v>479</v>
      </c>
      <c r="E225" t="s">
        <v>541</v>
      </c>
      <c r="F225" t="s">
        <v>1298</v>
      </c>
      <c r="G225">
        <v>2019</v>
      </c>
      <c r="H225" t="s">
        <v>724</v>
      </c>
      <c r="I225" t="s">
        <v>482</v>
      </c>
      <c r="J225" t="s">
        <v>483</v>
      </c>
      <c r="K225" t="s">
        <v>484</v>
      </c>
      <c r="L225" t="s">
        <v>590</v>
      </c>
      <c r="M225" t="s">
        <v>590</v>
      </c>
      <c r="N225" t="s">
        <v>487</v>
      </c>
      <c r="O225" t="s">
        <v>553</v>
      </c>
      <c r="Q225" t="s">
        <v>488</v>
      </c>
      <c r="S225">
        <v>39685</v>
      </c>
      <c r="T225" t="s">
        <v>1003</v>
      </c>
      <c r="U225" t="s">
        <v>1004</v>
      </c>
      <c r="V225">
        <v>39.08</v>
      </c>
      <c r="W225">
        <v>1</v>
      </c>
      <c r="X225">
        <v>23788.5</v>
      </c>
      <c r="Z225" t="s">
        <v>491</v>
      </c>
      <c r="AA225" t="s">
        <v>491</v>
      </c>
      <c r="AB225" t="s">
        <v>491</v>
      </c>
      <c r="AC225" t="s">
        <v>491</v>
      </c>
      <c r="AD225" t="s">
        <v>492</v>
      </c>
      <c r="AE225" t="s">
        <v>492</v>
      </c>
      <c r="AF225">
        <v>2</v>
      </c>
      <c r="AG225">
        <v>3</v>
      </c>
      <c r="AH225">
        <v>0</v>
      </c>
      <c r="AI225">
        <v>0</v>
      </c>
      <c r="AJ225">
        <v>0</v>
      </c>
      <c r="AK225">
        <v>0</v>
      </c>
      <c r="AL225">
        <v>0</v>
      </c>
      <c r="AM225">
        <v>3</v>
      </c>
      <c r="AN225" t="s">
        <v>493</v>
      </c>
      <c r="AO225" t="s">
        <v>494</v>
      </c>
      <c r="AP225">
        <v>19</v>
      </c>
      <c r="AQ225" t="s">
        <v>495</v>
      </c>
      <c r="AR225" t="s">
        <v>496</v>
      </c>
      <c r="AS225">
        <v>3</v>
      </c>
      <c r="AT225" t="s">
        <v>497</v>
      </c>
      <c r="AU225" t="s">
        <v>1297</v>
      </c>
      <c r="AV225" t="s">
        <v>498</v>
      </c>
      <c r="AW225" t="s">
        <v>1299</v>
      </c>
      <c r="AX225">
        <v>44.794701119999999</v>
      </c>
      <c r="AY225">
        <v>-68.766163859999992</v>
      </c>
      <c r="AZ225">
        <v>4</v>
      </c>
      <c r="BA225" t="s">
        <v>606</v>
      </c>
      <c r="BB225" t="s">
        <v>501</v>
      </c>
      <c r="BC225">
        <v>3111001</v>
      </c>
      <c r="BD225">
        <v>4</v>
      </c>
      <c r="BE225" t="s">
        <v>502</v>
      </c>
      <c r="BF225" t="s">
        <v>503</v>
      </c>
      <c r="BG225" t="s">
        <v>504</v>
      </c>
      <c r="BH225" t="s">
        <v>505</v>
      </c>
      <c r="BI225">
        <v>188024</v>
      </c>
      <c r="BJ225">
        <v>0</v>
      </c>
    </row>
    <row r="226" spans="1:62" x14ac:dyDescent="0.35">
      <c r="A226" t="s">
        <v>1001</v>
      </c>
      <c r="B226" t="s">
        <v>1300</v>
      </c>
      <c r="C226" s="292">
        <v>44832</v>
      </c>
      <c r="D226" t="s">
        <v>479</v>
      </c>
      <c r="E226" t="s">
        <v>574</v>
      </c>
      <c r="F226" t="s">
        <v>1301</v>
      </c>
      <c r="G226">
        <v>2022</v>
      </c>
      <c r="H226" t="s">
        <v>396</v>
      </c>
      <c r="I226" t="s">
        <v>482</v>
      </c>
      <c r="J226" t="s">
        <v>483</v>
      </c>
      <c r="K226" t="s">
        <v>484</v>
      </c>
      <c r="L226" t="s">
        <v>485</v>
      </c>
      <c r="M226" t="s">
        <v>486</v>
      </c>
      <c r="N226" t="s">
        <v>487</v>
      </c>
      <c r="O226" t="s">
        <v>553</v>
      </c>
      <c r="Q226" t="s">
        <v>488</v>
      </c>
      <c r="S226">
        <v>39685</v>
      </c>
      <c r="T226" t="s">
        <v>1003</v>
      </c>
      <c r="U226" t="s">
        <v>1004</v>
      </c>
      <c r="V226">
        <v>39.08</v>
      </c>
      <c r="W226">
        <v>1</v>
      </c>
      <c r="X226">
        <v>23788.5</v>
      </c>
      <c r="Z226" t="s">
        <v>491</v>
      </c>
      <c r="AA226" t="s">
        <v>491</v>
      </c>
      <c r="AC226" t="s">
        <v>646</v>
      </c>
      <c r="AD226" t="s">
        <v>492</v>
      </c>
      <c r="AE226" t="s">
        <v>492</v>
      </c>
      <c r="AF226">
        <v>2</v>
      </c>
      <c r="AG226">
        <v>2</v>
      </c>
      <c r="AH226">
        <v>1</v>
      </c>
      <c r="AI226">
        <v>0</v>
      </c>
      <c r="AJ226">
        <v>0</v>
      </c>
      <c r="AK226">
        <v>1</v>
      </c>
      <c r="AL226">
        <v>0</v>
      </c>
      <c r="AM226">
        <v>1</v>
      </c>
      <c r="AN226" t="s">
        <v>685</v>
      </c>
      <c r="AO226" t="s">
        <v>494</v>
      </c>
      <c r="AP226">
        <v>18</v>
      </c>
      <c r="AQ226" t="s">
        <v>495</v>
      </c>
      <c r="AR226" t="s">
        <v>496</v>
      </c>
      <c r="AS226">
        <v>4</v>
      </c>
      <c r="AT226" t="s">
        <v>497</v>
      </c>
      <c r="AU226" t="s">
        <v>1300</v>
      </c>
      <c r="AV226" t="s">
        <v>498</v>
      </c>
      <c r="AW226" t="s">
        <v>1302</v>
      </c>
      <c r="AX226">
        <v>44.794699999999999</v>
      </c>
      <c r="AY226">
        <v>-68.766159999999999</v>
      </c>
      <c r="AZ226">
        <v>9</v>
      </c>
      <c r="BA226" t="s">
        <v>601</v>
      </c>
      <c r="BB226" t="s">
        <v>501</v>
      </c>
      <c r="BC226">
        <v>3111001</v>
      </c>
      <c r="BD226">
        <v>4</v>
      </c>
      <c r="BE226" t="s">
        <v>502</v>
      </c>
      <c r="BF226" t="s">
        <v>503</v>
      </c>
      <c r="BG226" t="s">
        <v>504</v>
      </c>
      <c r="BH226" t="s">
        <v>505</v>
      </c>
      <c r="BI226">
        <v>190472</v>
      </c>
      <c r="BJ226">
        <v>0</v>
      </c>
    </row>
    <row r="227" spans="1:62" x14ac:dyDescent="0.35">
      <c r="A227" t="s">
        <v>1001</v>
      </c>
      <c r="B227" t="s">
        <v>1303</v>
      </c>
      <c r="C227" s="292">
        <v>45067</v>
      </c>
      <c r="D227" t="s">
        <v>479</v>
      </c>
      <c r="E227" t="s">
        <v>594</v>
      </c>
      <c r="F227" t="s">
        <v>1304</v>
      </c>
      <c r="G227">
        <v>2023</v>
      </c>
      <c r="H227" t="s">
        <v>396</v>
      </c>
      <c r="I227" t="s">
        <v>482</v>
      </c>
      <c r="J227" t="s">
        <v>510</v>
      </c>
      <c r="K227" t="s">
        <v>484</v>
      </c>
      <c r="L227" t="s">
        <v>485</v>
      </c>
      <c r="M227" t="s">
        <v>486</v>
      </c>
      <c r="N227" t="s">
        <v>492</v>
      </c>
      <c r="O227" t="s">
        <v>564</v>
      </c>
      <c r="Q227" t="s">
        <v>488</v>
      </c>
      <c r="S227">
        <v>39685</v>
      </c>
      <c r="T227" t="s">
        <v>1003</v>
      </c>
      <c r="U227" t="s">
        <v>1004</v>
      </c>
      <c r="V227">
        <v>39.08</v>
      </c>
      <c r="W227">
        <v>1</v>
      </c>
      <c r="X227">
        <v>23788.5</v>
      </c>
      <c r="Z227" t="s">
        <v>491</v>
      </c>
      <c r="AA227" t="s">
        <v>491</v>
      </c>
      <c r="AC227" t="s">
        <v>491</v>
      </c>
      <c r="AD227" t="s">
        <v>492</v>
      </c>
      <c r="AE227" t="s">
        <v>492</v>
      </c>
      <c r="AF227">
        <v>2</v>
      </c>
      <c r="AG227">
        <v>5</v>
      </c>
      <c r="AH227">
        <v>0</v>
      </c>
      <c r="AI227">
        <v>0</v>
      </c>
      <c r="AJ227">
        <v>0</v>
      </c>
      <c r="AK227">
        <v>0</v>
      </c>
      <c r="AL227">
        <v>0</v>
      </c>
      <c r="AM227">
        <v>5</v>
      </c>
      <c r="AN227" t="s">
        <v>493</v>
      </c>
      <c r="AO227" t="s">
        <v>494</v>
      </c>
      <c r="AP227">
        <v>13</v>
      </c>
      <c r="AQ227" t="s">
        <v>495</v>
      </c>
      <c r="AR227" t="s">
        <v>496</v>
      </c>
      <c r="AS227">
        <v>1</v>
      </c>
      <c r="AT227" t="s">
        <v>497</v>
      </c>
      <c r="AU227" t="s">
        <v>1303</v>
      </c>
      <c r="AV227" t="s">
        <v>498</v>
      </c>
      <c r="AW227" t="s">
        <v>1305</v>
      </c>
      <c r="AX227">
        <v>44.794701119999999</v>
      </c>
      <c r="AY227">
        <v>-68.766163859999992</v>
      </c>
      <c r="AZ227">
        <v>5</v>
      </c>
      <c r="BA227" t="s">
        <v>597</v>
      </c>
      <c r="BB227" t="s">
        <v>501</v>
      </c>
      <c r="BC227">
        <v>3111001</v>
      </c>
      <c r="BD227">
        <v>4</v>
      </c>
      <c r="BE227" t="s">
        <v>502</v>
      </c>
      <c r="BF227" t="s">
        <v>503</v>
      </c>
      <c r="BG227" t="s">
        <v>504</v>
      </c>
      <c r="BH227" t="s">
        <v>505</v>
      </c>
      <c r="BI227">
        <v>191022</v>
      </c>
      <c r="BJ227">
        <v>0</v>
      </c>
    </row>
    <row r="228" spans="1:62" x14ac:dyDescent="0.35">
      <c r="A228" t="s">
        <v>1001</v>
      </c>
      <c r="B228" t="s">
        <v>1306</v>
      </c>
      <c r="C228" s="292">
        <v>45212</v>
      </c>
      <c r="D228" t="s">
        <v>479</v>
      </c>
      <c r="E228" t="s">
        <v>507</v>
      </c>
      <c r="F228" t="s">
        <v>1307</v>
      </c>
      <c r="G228">
        <v>2023</v>
      </c>
      <c r="H228" t="s">
        <v>396</v>
      </c>
      <c r="I228" t="s">
        <v>532</v>
      </c>
      <c r="J228" t="s">
        <v>483</v>
      </c>
      <c r="K228" t="s">
        <v>525</v>
      </c>
      <c r="L228" t="s">
        <v>485</v>
      </c>
      <c r="M228" t="s">
        <v>486</v>
      </c>
      <c r="N228" t="s">
        <v>487</v>
      </c>
      <c r="O228" t="s">
        <v>553</v>
      </c>
      <c r="Q228" t="s">
        <v>488</v>
      </c>
      <c r="S228">
        <v>38309</v>
      </c>
      <c r="T228" t="s">
        <v>1003</v>
      </c>
      <c r="U228" t="s">
        <v>1004</v>
      </c>
      <c r="V228">
        <v>39.840000000000003</v>
      </c>
      <c r="W228">
        <v>1</v>
      </c>
      <c r="X228">
        <v>9913.5</v>
      </c>
      <c r="Z228" t="s">
        <v>491</v>
      </c>
      <c r="AA228" t="s">
        <v>491</v>
      </c>
      <c r="AC228" t="s">
        <v>491</v>
      </c>
      <c r="AD228" t="s">
        <v>492</v>
      </c>
      <c r="AE228" t="s">
        <v>492</v>
      </c>
      <c r="AF228">
        <v>2</v>
      </c>
      <c r="AG228">
        <v>2</v>
      </c>
      <c r="AH228">
        <v>0</v>
      </c>
      <c r="AI228">
        <v>0</v>
      </c>
      <c r="AJ228">
        <v>0</v>
      </c>
      <c r="AK228">
        <v>0</v>
      </c>
      <c r="AL228">
        <v>0</v>
      </c>
      <c r="AM228">
        <v>2</v>
      </c>
      <c r="AN228" t="s">
        <v>493</v>
      </c>
      <c r="AO228" t="s">
        <v>494</v>
      </c>
      <c r="AP228">
        <v>18</v>
      </c>
      <c r="AQ228" t="s">
        <v>495</v>
      </c>
      <c r="AR228" t="s">
        <v>496</v>
      </c>
      <c r="AS228">
        <v>6</v>
      </c>
      <c r="AT228" t="s">
        <v>497</v>
      </c>
      <c r="AU228" t="s">
        <v>1306</v>
      </c>
      <c r="AV228" t="s">
        <v>498</v>
      </c>
      <c r="AW228" t="s">
        <v>1308</v>
      </c>
      <c r="AX228">
        <v>44.786902750000003</v>
      </c>
      <c r="AY228">
        <v>-68.75555507</v>
      </c>
      <c r="AZ228">
        <v>10</v>
      </c>
      <c r="BA228" t="s">
        <v>548</v>
      </c>
      <c r="BB228" t="s">
        <v>501</v>
      </c>
      <c r="BC228">
        <v>3115152</v>
      </c>
      <c r="BD228">
        <v>4</v>
      </c>
      <c r="BE228" t="s">
        <v>502</v>
      </c>
      <c r="BF228" t="s">
        <v>503</v>
      </c>
      <c r="BG228" t="s">
        <v>504</v>
      </c>
      <c r="BH228" t="s">
        <v>505</v>
      </c>
      <c r="BI228">
        <v>199968</v>
      </c>
      <c r="BJ228">
        <v>0</v>
      </c>
    </row>
    <row r="229" spans="1:62" x14ac:dyDescent="0.35">
      <c r="A229" t="s">
        <v>1001</v>
      </c>
      <c r="B229" t="s">
        <v>1309</v>
      </c>
      <c r="C229" s="292">
        <v>45210</v>
      </c>
      <c r="D229" t="s">
        <v>479</v>
      </c>
      <c r="E229" t="s">
        <v>574</v>
      </c>
      <c r="F229" t="s">
        <v>1310</v>
      </c>
      <c r="G229">
        <v>2023</v>
      </c>
      <c r="H229" t="s">
        <v>396</v>
      </c>
      <c r="I229" t="s">
        <v>482</v>
      </c>
      <c r="J229" t="s">
        <v>510</v>
      </c>
      <c r="K229" t="s">
        <v>484</v>
      </c>
      <c r="L229" t="s">
        <v>485</v>
      </c>
      <c r="M229" t="s">
        <v>486</v>
      </c>
      <c r="N229" t="s">
        <v>487</v>
      </c>
      <c r="O229" t="s">
        <v>564</v>
      </c>
      <c r="Q229" t="s">
        <v>488</v>
      </c>
      <c r="S229">
        <v>39685</v>
      </c>
      <c r="T229" t="s">
        <v>1003</v>
      </c>
      <c r="U229" t="s">
        <v>1004</v>
      </c>
      <c r="V229">
        <v>39.08</v>
      </c>
      <c r="W229">
        <v>1</v>
      </c>
      <c r="X229">
        <v>23788.5</v>
      </c>
      <c r="Z229" t="s">
        <v>491</v>
      </c>
      <c r="AA229" t="s">
        <v>491</v>
      </c>
      <c r="AC229" t="s">
        <v>491</v>
      </c>
      <c r="AD229" t="s">
        <v>492</v>
      </c>
      <c r="AE229" t="s">
        <v>492</v>
      </c>
      <c r="AF229">
        <v>2</v>
      </c>
      <c r="AG229">
        <v>2</v>
      </c>
      <c r="AH229">
        <v>0</v>
      </c>
      <c r="AI229">
        <v>0</v>
      </c>
      <c r="AJ229">
        <v>0</v>
      </c>
      <c r="AK229">
        <v>0</v>
      </c>
      <c r="AL229">
        <v>0</v>
      </c>
      <c r="AM229">
        <v>2</v>
      </c>
      <c r="AN229" t="s">
        <v>493</v>
      </c>
      <c r="AO229" t="s">
        <v>494</v>
      </c>
      <c r="AP229">
        <v>16</v>
      </c>
      <c r="AQ229" t="s">
        <v>495</v>
      </c>
      <c r="AR229" t="s">
        <v>496</v>
      </c>
      <c r="AS229">
        <v>4</v>
      </c>
      <c r="AT229" t="s">
        <v>497</v>
      </c>
      <c r="AU229" t="s">
        <v>1309</v>
      </c>
      <c r="AV229" t="s">
        <v>498</v>
      </c>
      <c r="AW229" t="s">
        <v>1311</v>
      </c>
      <c r="AX229">
        <v>44.794701119999999</v>
      </c>
      <c r="AY229">
        <v>-68.766163859999992</v>
      </c>
      <c r="AZ229">
        <v>10</v>
      </c>
      <c r="BA229" t="s">
        <v>548</v>
      </c>
      <c r="BB229" t="s">
        <v>501</v>
      </c>
      <c r="BC229">
        <v>3111001</v>
      </c>
      <c r="BD229">
        <v>4</v>
      </c>
      <c r="BE229" t="s">
        <v>502</v>
      </c>
      <c r="BF229" t="s">
        <v>503</v>
      </c>
      <c r="BG229" t="s">
        <v>504</v>
      </c>
      <c r="BH229" t="s">
        <v>505</v>
      </c>
      <c r="BI229">
        <v>199987</v>
      </c>
      <c r="BJ229">
        <v>0</v>
      </c>
    </row>
    <row r="230" spans="1:62" x14ac:dyDescent="0.35">
      <c r="A230" t="s">
        <v>1001</v>
      </c>
      <c r="B230" t="s">
        <v>1312</v>
      </c>
      <c r="C230" s="292">
        <v>43776</v>
      </c>
      <c r="D230" t="s">
        <v>479</v>
      </c>
      <c r="E230" t="s">
        <v>516</v>
      </c>
      <c r="F230" t="s">
        <v>1313</v>
      </c>
      <c r="G230">
        <v>2019</v>
      </c>
      <c r="H230" t="s">
        <v>396</v>
      </c>
      <c r="I230" t="s">
        <v>532</v>
      </c>
      <c r="J230" t="s">
        <v>415</v>
      </c>
      <c r="K230" t="s">
        <v>556</v>
      </c>
      <c r="L230" t="s">
        <v>485</v>
      </c>
      <c r="M230" t="s">
        <v>486</v>
      </c>
      <c r="O230" t="s">
        <v>630</v>
      </c>
      <c r="T230" t="s">
        <v>1003</v>
      </c>
      <c r="U230" t="s">
        <v>1004</v>
      </c>
      <c r="V230">
        <v>39.31</v>
      </c>
      <c r="W230">
        <v>1</v>
      </c>
      <c r="X230">
        <v>8737</v>
      </c>
      <c r="Y230">
        <v>25</v>
      </c>
      <c r="Z230" t="s">
        <v>646</v>
      </c>
      <c r="AA230" t="s">
        <v>491</v>
      </c>
      <c r="AB230" t="s">
        <v>491</v>
      </c>
      <c r="AC230" t="s">
        <v>491</v>
      </c>
      <c r="AD230" t="s">
        <v>492</v>
      </c>
      <c r="AE230" t="s">
        <v>492</v>
      </c>
      <c r="AF230">
        <v>2</v>
      </c>
      <c r="AG230">
        <v>2</v>
      </c>
      <c r="AH230">
        <v>1</v>
      </c>
      <c r="AI230">
        <v>0</v>
      </c>
      <c r="AJ230">
        <v>1</v>
      </c>
      <c r="AK230">
        <v>0</v>
      </c>
      <c r="AL230">
        <v>0</v>
      </c>
      <c r="AM230">
        <v>1</v>
      </c>
      <c r="AN230" t="s">
        <v>1314</v>
      </c>
      <c r="AO230" t="s">
        <v>494</v>
      </c>
      <c r="AP230">
        <v>0</v>
      </c>
      <c r="AQ230" t="s">
        <v>396</v>
      </c>
      <c r="AR230" t="s">
        <v>558</v>
      </c>
      <c r="AS230">
        <v>5</v>
      </c>
      <c r="AT230" t="s">
        <v>497</v>
      </c>
      <c r="AU230" t="s">
        <v>1312</v>
      </c>
      <c r="AV230" t="s">
        <v>1315</v>
      </c>
      <c r="AW230" t="s">
        <v>1316</v>
      </c>
      <c r="AX230">
        <v>44.792677730000001</v>
      </c>
      <c r="AY230">
        <v>-68.762610910000006</v>
      </c>
      <c r="AZ230">
        <v>11</v>
      </c>
      <c r="BA230" t="s">
        <v>551</v>
      </c>
      <c r="BB230" t="s">
        <v>501</v>
      </c>
      <c r="BC230">
        <v>3944111</v>
      </c>
      <c r="BD230">
        <v>4</v>
      </c>
      <c r="BE230" t="s">
        <v>502</v>
      </c>
      <c r="BF230" t="s">
        <v>503</v>
      </c>
      <c r="BG230" t="s">
        <v>504</v>
      </c>
      <c r="BH230" t="s">
        <v>560</v>
      </c>
      <c r="BI230">
        <v>202014</v>
      </c>
      <c r="BJ230">
        <v>0.14000000000000001</v>
      </c>
    </row>
    <row r="231" spans="1:62" x14ac:dyDescent="0.35">
      <c r="A231" t="s">
        <v>1001</v>
      </c>
      <c r="B231" t="s">
        <v>1317</v>
      </c>
      <c r="C231" s="292">
        <v>44026</v>
      </c>
      <c r="D231" t="s">
        <v>479</v>
      </c>
      <c r="E231" t="s">
        <v>541</v>
      </c>
      <c r="F231" t="s">
        <v>542</v>
      </c>
      <c r="G231">
        <v>2020</v>
      </c>
      <c r="H231" t="s">
        <v>396</v>
      </c>
      <c r="I231" t="s">
        <v>482</v>
      </c>
      <c r="J231" t="s">
        <v>483</v>
      </c>
      <c r="K231" t="s">
        <v>484</v>
      </c>
      <c r="L231" t="s">
        <v>485</v>
      </c>
      <c r="M231" t="s">
        <v>563</v>
      </c>
      <c r="N231" t="s">
        <v>487</v>
      </c>
      <c r="O231" t="s">
        <v>518</v>
      </c>
      <c r="Q231" t="s">
        <v>488</v>
      </c>
      <c r="S231">
        <v>39685</v>
      </c>
      <c r="T231" t="s">
        <v>1003</v>
      </c>
      <c r="U231" t="s">
        <v>1004</v>
      </c>
      <c r="V231">
        <v>39.08</v>
      </c>
      <c r="W231">
        <v>1</v>
      </c>
      <c r="X231">
        <v>23788.5</v>
      </c>
      <c r="Z231" t="s">
        <v>491</v>
      </c>
      <c r="AA231" t="s">
        <v>491</v>
      </c>
      <c r="AB231" t="s">
        <v>491</v>
      </c>
      <c r="AC231" t="s">
        <v>491</v>
      </c>
      <c r="AD231" t="s">
        <v>492</v>
      </c>
      <c r="AE231" t="s">
        <v>492</v>
      </c>
      <c r="AF231">
        <v>2</v>
      </c>
      <c r="AG231">
        <v>4</v>
      </c>
      <c r="AH231">
        <v>1</v>
      </c>
      <c r="AI231">
        <v>0</v>
      </c>
      <c r="AJ231">
        <v>0</v>
      </c>
      <c r="AK231">
        <v>1</v>
      </c>
      <c r="AL231">
        <v>0</v>
      </c>
      <c r="AM231">
        <v>3</v>
      </c>
      <c r="AN231" t="s">
        <v>685</v>
      </c>
      <c r="AO231" t="s">
        <v>494</v>
      </c>
      <c r="AP231">
        <v>11</v>
      </c>
      <c r="AQ231" t="s">
        <v>495</v>
      </c>
      <c r="AR231" t="s">
        <v>496</v>
      </c>
      <c r="AS231">
        <v>3</v>
      </c>
      <c r="AT231" t="s">
        <v>497</v>
      </c>
      <c r="AU231" t="s">
        <v>1317</v>
      </c>
      <c r="AV231" t="s">
        <v>498</v>
      </c>
      <c r="AW231" t="s">
        <v>1318</v>
      </c>
      <c r="AX231">
        <v>44.794701119999999</v>
      </c>
      <c r="AY231">
        <v>-68.766163859999992</v>
      </c>
      <c r="AZ231">
        <v>7</v>
      </c>
      <c r="BA231" t="s">
        <v>500</v>
      </c>
      <c r="BB231" t="s">
        <v>501</v>
      </c>
      <c r="BC231">
        <v>3111001</v>
      </c>
      <c r="BD231">
        <v>4</v>
      </c>
      <c r="BE231" t="s">
        <v>502</v>
      </c>
      <c r="BF231" t="s">
        <v>503</v>
      </c>
      <c r="BG231" t="s">
        <v>504</v>
      </c>
      <c r="BH231" t="s">
        <v>505</v>
      </c>
      <c r="BI231">
        <v>203334</v>
      </c>
      <c r="BJ231">
        <v>0</v>
      </c>
    </row>
    <row r="232" spans="1:62" x14ac:dyDescent="0.35">
      <c r="A232" t="s">
        <v>1001</v>
      </c>
      <c r="B232" t="s">
        <v>1319</v>
      </c>
      <c r="C232" s="292">
        <v>43421</v>
      </c>
      <c r="D232" t="s">
        <v>479</v>
      </c>
      <c r="E232" t="s">
        <v>552</v>
      </c>
      <c r="F232" t="s">
        <v>1320</v>
      </c>
      <c r="G232">
        <v>2018</v>
      </c>
      <c r="H232" t="s">
        <v>396</v>
      </c>
      <c r="I232" t="s">
        <v>482</v>
      </c>
      <c r="J232" t="s">
        <v>483</v>
      </c>
      <c r="K232" t="s">
        <v>576</v>
      </c>
      <c r="L232" t="s">
        <v>526</v>
      </c>
      <c r="M232" t="s">
        <v>486</v>
      </c>
      <c r="N232" t="s">
        <v>487</v>
      </c>
      <c r="O232" t="s">
        <v>553</v>
      </c>
      <c r="Q232" t="s">
        <v>488</v>
      </c>
      <c r="T232" t="s">
        <v>1005</v>
      </c>
      <c r="U232" t="s">
        <v>1006</v>
      </c>
      <c r="V232">
        <v>0.42</v>
      </c>
      <c r="W232">
        <v>1</v>
      </c>
      <c r="X232">
        <v>4387</v>
      </c>
      <c r="Y232">
        <v>25</v>
      </c>
      <c r="Z232" t="s">
        <v>491</v>
      </c>
      <c r="AA232" t="s">
        <v>491</v>
      </c>
      <c r="AB232" t="s">
        <v>491</v>
      </c>
      <c r="AC232" t="s">
        <v>491</v>
      </c>
      <c r="AD232" t="s">
        <v>492</v>
      </c>
      <c r="AE232" t="s">
        <v>492</v>
      </c>
      <c r="AF232">
        <v>2</v>
      </c>
      <c r="AG232">
        <v>3</v>
      </c>
      <c r="AH232">
        <v>0</v>
      </c>
      <c r="AI232">
        <v>0</v>
      </c>
      <c r="AJ232">
        <v>0</v>
      </c>
      <c r="AK232">
        <v>0</v>
      </c>
      <c r="AL232">
        <v>0</v>
      </c>
      <c r="AM232">
        <v>3</v>
      </c>
      <c r="AN232" t="s">
        <v>493</v>
      </c>
      <c r="AO232" t="s">
        <v>494</v>
      </c>
      <c r="AP232">
        <v>13</v>
      </c>
      <c r="AQ232" t="s">
        <v>495</v>
      </c>
      <c r="AR232" t="s">
        <v>558</v>
      </c>
      <c r="AS232">
        <v>7</v>
      </c>
      <c r="AT232" t="s">
        <v>497</v>
      </c>
      <c r="AU232" t="s">
        <v>1319</v>
      </c>
      <c r="AV232" t="s">
        <v>498</v>
      </c>
      <c r="AW232" t="s">
        <v>1321</v>
      </c>
      <c r="AX232">
        <v>44.785038789999987</v>
      </c>
      <c r="AY232">
        <v>-68.753184630000007</v>
      </c>
      <c r="AZ232">
        <v>11</v>
      </c>
      <c r="BA232" t="s">
        <v>551</v>
      </c>
      <c r="BB232" t="s">
        <v>501</v>
      </c>
      <c r="BC232">
        <v>3111272</v>
      </c>
      <c r="BD232">
        <v>4</v>
      </c>
      <c r="BE232" t="s">
        <v>502</v>
      </c>
      <c r="BF232" t="s">
        <v>503</v>
      </c>
      <c r="BG232" t="s">
        <v>504</v>
      </c>
      <c r="BH232" t="s">
        <v>560</v>
      </c>
      <c r="BI232">
        <v>205868</v>
      </c>
      <c r="BJ232">
        <v>0.03</v>
      </c>
    </row>
    <row r="233" spans="1:62" x14ac:dyDescent="0.35">
      <c r="A233" t="s">
        <v>1001</v>
      </c>
      <c r="B233" t="s">
        <v>1322</v>
      </c>
      <c r="C233" s="292">
        <v>44175</v>
      </c>
      <c r="D233" t="s">
        <v>479</v>
      </c>
      <c r="E233" t="s">
        <v>516</v>
      </c>
      <c r="F233" t="s">
        <v>1323</v>
      </c>
      <c r="G233">
        <v>2020</v>
      </c>
      <c r="H233" t="s">
        <v>396</v>
      </c>
      <c r="I233" t="s">
        <v>532</v>
      </c>
      <c r="J233" t="s">
        <v>483</v>
      </c>
      <c r="K233" t="s">
        <v>484</v>
      </c>
      <c r="L233" t="s">
        <v>485</v>
      </c>
      <c r="M233" t="s">
        <v>563</v>
      </c>
      <c r="N233" t="s">
        <v>487</v>
      </c>
      <c r="O233" t="s">
        <v>518</v>
      </c>
      <c r="P233" t="s">
        <v>1324</v>
      </c>
      <c r="Q233" t="s">
        <v>488</v>
      </c>
      <c r="S233">
        <v>39685</v>
      </c>
      <c r="T233" t="s">
        <v>1003</v>
      </c>
      <c r="U233" t="s">
        <v>1004</v>
      </c>
      <c r="V233">
        <v>39.08</v>
      </c>
      <c r="W233">
        <v>1</v>
      </c>
      <c r="X233">
        <v>23788.5</v>
      </c>
      <c r="Z233" t="s">
        <v>491</v>
      </c>
      <c r="AA233" t="s">
        <v>491</v>
      </c>
      <c r="AB233" t="s">
        <v>491</v>
      </c>
      <c r="AC233" t="s">
        <v>491</v>
      </c>
      <c r="AD233" t="s">
        <v>492</v>
      </c>
      <c r="AE233" t="s">
        <v>492</v>
      </c>
      <c r="AF233">
        <v>2</v>
      </c>
      <c r="AG233">
        <v>4</v>
      </c>
      <c r="AH233">
        <v>4</v>
      </c>
      <c r="AI233">
        <v>0</v>
      </c>
      <c r="AJ233">
        <v>0</v>
      </c>
      <c r="AK233">
        <v>4</v>
      </c>
      <c r="AL233">
        <v>0</v>
      </c>
      <c r="AM233">
        <v>0</v>
      </c>
      <c r="AN233" t="s">
        <v>685</v>
      </c>
      <c r="AO233" t="s">
        <v>494</v>
      </c>
      <c r="AP233">
        <v>20</v>
      </c>
      <c r="AQ233" t="s">
        <v>495</v>
      </c>
      <c r="AR233" t="s">
        <v>496</v>
      </c>
      <c r="AS233">
        <v>5</v>
      </c>
      <c r="AT233" t="s">
        <v>497</v>
      </c>
      <c r="AU233" t="s">
        <v>1322</v>
      </c>
      <c r="AV233" t="s">
        <v>498</v>
      </c>
      <c r="AW233" t="s">
        <v>1325</v>
      </c>
      <c r="AX233">
        <v>44.794701119999999</v>
      </c>
      <c r="AY233">
        <v>-68.766163859999992</v>
      </c>
      <c r="AZ233">
        <v>12</v>
      </c>
      <c r="BA233" t="s">
        <v>534</v>
      </c>
      <c r="BB233" t="s">
        <v>501</v>
      </c>
      <c r="BC233">
        <v>3111001</v>
      </c>
      <c r="BD233">
        <v>4</v>
      </c>
      <c r="BE233" t="s">
        <v>502</v>
      </c>
      <c r="BF233" t="s">
        <v>503</v>
      </c>
      <c r="BG233" t="s">
        <v>504</v>
      </c>
      <c r="BH233" t="s">
        <v>505</v>
      </c>
      <c r="BI233">
        <v>211457</v>
      </c>
      <c r="BJ233">
        <v>0</v>
      </c>
    </row>
    <row r="234" spans="1:62" x14ac:dyDescent="0.35">
      <c r="A234" t="s">
        <v>1001</v>
      </c>
      <c r="B234" t="s">
        <v>1326</v>
      </c>
      <c r="C234" s="292">
        <v>44271</v>
      </c>
      <c r="D234" t="s">
        <v>479</v>
      </c>
      <c r="E234" t="s">
        <v>541</v>
      </c>
      <c r="F234" t="s">
        <v>582</v>
      </c>
      <c r="G234">
        <v>2021</v>
      </c>
      <c r="H234" t="s">
        <v>396</v>
      </c>
      <c r="I234" t="s">
        <v>482</v>
      </c>
      <c r="J234" t="s">
        <v>510</v>
      </c>
      <c r="K234" t="s">
        <v>525</v>
      </c>
      <c r="L234" t="s">
        <v>485</v>
      </c>
      <c r="M234" t="s">
        <v>486</v>
      </c>
      <c r="O234" t="s">
        <v>564</v>
      </c>
      <c r="Q234" t="s">
        <v>488</v>
      </c>
      <c r="S234">
        <v>39768</v>
      </c>
      <c r="T234" t="s">
        <v>1003</v>
      </c>
      <c r="U234" t="s">
        <v>1004</v>
      </c>
      <c r="V234">
        <v>39.450000000000003</v>
      </c>
      <c r="W234">
        <v>1</v>
      </c>
      <c r="X234">
        <v>8779</v>
      </c>
      <c r="Z234" t="s">
        <v>491</v>
      </c>
      <c r="AA234" t="s">
        <v>491</v>
      </c>
      <c r="AB234" t="s">
        <v>491</v>
      </c>
      <c r="AC234" t="s">
        <v>491</v>
      </c>
      <c r="AD234" t="s">
        <v>492</v>
      </c>
      <c r="AE234" t="s">
        <v>492</v>
      </c>
      <c r="AF234">
        <v>2</v>
      </c>
      <c r="AG234">
        <v>3</v>
      </c>
      <c r="AH234">
        <v>0</v>
      </c>
      <c r="AI234">
        <v>0</v>
      </c>
      <c r="AJ234">
        <v>0</v>
      </c>
      <c r="AK234">
        <v>0</v>
      </c>
      <c r="AL234">
        <v>0</v>
      </c>
      <c r="AM234">
        <v>3</v>
      </c>
      <c r="AN234" t="s">
        <v>493</v>
      </c>
      <c r="AO234" t="s">
        <v>494</v>
      </c>
      <c r="AP234">
        <v>16</v>
      </c>
      <c r="AQ234" t="s">
        <v>396</v>
      </c>
      <c r="AR234" t="s">
        <v>496</v>
      </c>
      <c r="AS234">
        <v>3</v>
      </c>
      <c r="AT234" t="s">
        <v>497</v>
      </c>
      <c r="AU234" t="s">
        <v>1327</v>
      </c>
      <c r="AV234" t="s">
        <v>498</v>
      </c>
      <c r="AW234" t="s">
        <v>1328</v>
      </c>
      <c r="AX234">
        <v>44.791111809999997</v>
      </c>
      <c r="AY234">
        <v>-68.760809539999997</v>
      </c>
      <c r="AZ234">
        <v>3</v>
      </c>
      <c r="BA234" t="s">
        <v>622</v>
      </c>
      <c r="BB234" t="s">
        <v>501</v>
      </c>
      <c r="BC234">
        <v>3944111</v>
      </c>
      <c r="BD234">
        <v>4</v>
      </c>
      <c r="BE234" t="s">
        <v>502</v>
      </c>
      <c r="BF234" t="s">
        <v>503</v>
      </c>
      <c r="BG234" t="s">
        <v>504</v>
      </c>
      <c r="BH234" t="s">
        <v>505</v>
      </c>
      <c r="BI234">
        <v>212175</v>
      </c>
      <c r="BJ234">
        <v>0</v>
      </c>
    </row>
    <row r="235" spans="1:62" x14ac:dyDescent="0.35">
      <c r="A235" t="s">
        <v>1001</v>
      </c>
      <c r="B235" t="s">
        <v>1329</v>
      </c>
      <c r="C235" s="292">
        <v>44310</v>
      </c>
      <c r="D235" t="s">
        <v>479</v>
      </c>
      <c r="E235" t="s">
        <v>552</v>
      </c>
      <c r="F235" t="s">
        <v>1330</v>
      </c>
      <c r="G235">
        <v>2021</v>
      </c>
      <c r="H235" t="s">
        <v>396</v>
      </c>
      <c r="I235" t="s">
        <v>532</v>
      </c>
      <c r="J235" t="s">
        <v>629</v>
      </c>
      <c r="K235" t="s">
        <v>556</v>
      </c>
      <c r="L235" t="s">
        <v>485</v>
      </c>
      <c r="M235" t="s">
        <v>486</v>
      </c>
      <c r="O235" t="s">
        <v>653</v>
      </c>
      <c r="T235" t="s">
        <v>1003</v>
      </c>
      <c r="U235" t="s">
        <v>1004</v>
      </c>
      <c r="V235">
        <v>39.01</v>
      </c>
      <c r="W235">
        <v>1</v>
      </c>
      <c r="X235">
        <v>14970</v>
      </c>
      <c r="Y235">
        <v>25</v>
      </c>
      <c r="Z235" t="s">
        <v>491</v>
      </c>
      <c r="AA235" t="s">
        <v>491</v>
      </c>
      <c r="AB235" t="s">
        <v>491</v>
      </c>
      <c r="AC235" t="s">
        <v>491</v>
      </c>
      <c r="AD235" t="s">
        <v>492</v>
      </c>
      <c r="AE235" t="s">
        <v>492</v>
      </c>
      <c r="AF235">
        <v>1</v>
      </c>
      <c r="AG235">
        <v>2</v>
      </c>
      <c r="AH235">
        <v>0</v>
      </c>
      <c r="AI235">
        <v>0</v>
      </c>
      <c r="AJ235">
        <v>0</v>
      </c>
      <c r="AK235">
        <v>0</v>
      </c>
      <c r="AL235">
        <v>0</v>
      </c>
      <c r="AM235">
        <v>2</v>
      </c>
      <c r="AN235" t="s">
        <v>493</v>
      </c>
      <c r="AO235" t="s">
        <v>494</v>
      </c>
      <c r="AP235">
        <v>1</v>
      </c>
      <c r="AQ235" t="s">
        <v>396</v>
      </c>
      <c r="AR235" t="s">
        <v>558</v>
      </c>
      <c r="AS235">
        <v>7</v>
      </c>
      <c r="AT235" t="s">
        <v>497</v>
      </c>
      <c r="AU235" t="s">
        <v>1329</v>
      </c>
      <c r="AV235" t="s">
        <v>498</v>
      </c>
      <c r="AW235" t="s">
        <v>1331</v>
      </c>
      <c r="AX235">
        <v>44.79545804</v>
      </c>
      <c r="AY235">
        <v>-68.76714896</v>
      </c>
      <c r="AZ235">
        <v>4</v>
      </c>
      <c r="BA235" t="s">
        <v>606</v>
      </c>
      <c r="BB235" t="s">
        <v>501</v>
      </c>
      <c r="BC235">
        <v>3111002</v>
      </c>
      <c r="BD235">
        <v>4</v>
      </c>
      <c r="BE235" t="s">
        <v>502</v>
      </c>
      <c r="BF235" t="s">
        <v>503</v>
      </c>
      <c r="BG235" t="s">
        <v>504</v>
      </c>
      <c r="BH235" t="s">
        <v>560</v>
      </c>
      <c r="BI235">
        <v>213355</v>
      </c>
      <c r="BJ235">
        <v>7.0000000000000007E-2</v>
      </c>
    </row>
    <row r="236" spans="1:62" x14ac:dyDescent="0.35">
      <c r="A236" t="s">
        <v>1001</v>
      </c>
      <c r="B236" t="s">
        <v>1332</v>
      </c>
      <c r="C236" s="292">
        <v>45593</v>
      </c>
      <c r="D236" t="s">
        <v>479</v>
      </c>
      <c r="E236" t="s">
        <v>536</v>
      </c>
      <c r="F236" t="s">
        <v>585</v>
      </c>
      <c r="G236">
        <v>2024</v>
      </c>
      <c r="H236" t="s">
        <v>396</v>
      </c>
      <c r="I236" t="s">
        <v>532</v>
      </c>
      <c r="J236" t="s">
        <v>483</v>
      </c>
      <c r="K236" t="s">
        <v>484</v>
      </c>
      <c r="L236" t="s">
        <v>485</v>
      </c>
      <c r="M236" t="s">
        <v>486</v>
      </c>
      <c r="N236" t="s">
        <v>487</v>
      </c>
      <c r="O236" t="s">
        <v>496</v>
      </c>
      <c r="Q236" t="s">
        <v>488</v>
      </c>
      <c r="S236">
        <v>39685</v>
      </c>
      <c r="T236" t="s">
        <v>1003</v>
      </c>
      <c r="U236" t="s">
        <v>1004</v>
      </c>
      <c r="V236">
        <v>39.08</v>
      </c>
      <c r="W236">
        <v>1</v>
      </c>
      <c r="X236">
        <v>23788.5</v>
      </c>
      <c r="Z236" t="s">
        <v>491</v>
      </c>
      <c r="AA236" t="s">
        <v>491</v>
      </c>
      <c r="AC236" t="s">
        <v>491</v>
      </c>
      <c r="AD236" t="s">
        <v>492</v>
      </c>
      <c r="AE236" t="s">
        <v>492</v>
      </c>
      <c r="AF236">
        <v>2</v>
      </c>
      <c r="AG236">
        <v>2</v>
      </c>
      <c r="AH236">
        <v>0</v>
      </c>
      <c r="AI236">
        <v>0</v>
      </c>
      <c r="AJ236">
        <v>0</v>
      </c>
      <c r="AK236">
        <v>0</v>
      </c>
      <c r="AL236">
        <v>0</v>
      </c>
      <c r="AM236">
        <v>2</v>
      </c>
      <c r="AN236" t="s">
        <v>493</v>
      </c>
      <c r="AO236" t="s">
        <v>494</v>
      </c>
      <c r="AP236">
        <v>17</v>
      </c>
      <c r="AQ236" t="s">
        <v>495</v>
      </c>
      <c r="AR236" t="s">
        <v>496</v>
      </c>
      <c r="AS236">
        <v>2</v>
      </c>
      <c r="AT236" t="s">
        <v>497</v>
      </c>
      <c r="AU236" t="s">
        <v>1332</v>
      </c>
      <c r="AV236" t="s">
        <v>758</v>
      </c>
      <c r="AW236" t="s">
        <v>1333</v>
      </c>
      <c r="AX236">
        <v>44.794701119999999</v>
      </c>
      <c r="AY236">
        <v>-68.766163859999992</v>
      </c>
      <c r="AZ236">
        <v>10</v>
      </c>
      <c r="BA236" t="s">
        <v>548</v>
      </c>
      <c r="BB236" t="s">
        <v>501</v>
      </c>
      <c r="BC236">
        <v>3111001</v>
      </c>
      <c r="BD236">
        <v>4</v>
      </c>
      <c r="BE236" t="s">
        <v>502</v>
      </c>
      <c r="BF236" t="s">
        <v>503</v>
      </c>
      <c r="BG236" t="s">
        <v>504</v>
      </c>
      <c r="BH236" t="s">
        <v>505</v>
      </c>
      <c r="BI236">
        <v>214116</v>
      </c>
      <c r="BJ236">
        <v>0</v>
      </c>
    </row>
    <row r="237" spans="1:62" x14ac:dyDescent="0.35">
      <c r="A237" t="s">
        <v>1001</v>
      </c>
      <c r="B237" t="s">
        <v>1334</v>
      </c>
      <c r="C237" s="292">
        <v>45033</v>
      </c>
      <c r="D237" t="s">
        <v>479</v>
      </c>
      <c r="E237" t="s">
        <v>523</v>
      </c>
      <c r="F237" t="s">
        <v>1335</v>
      </c>
      <c r="G237">
        <v>2023</v>
      </c>
      <c r="H237" t="s">
        <v>396</v>
      </c>
      <c r="I237" t="s">
        <v>482</v>
      </c>
      <c r="J237" t="s">
        <v>483</v>
      </c>
      <c r="K237" t="s">
        <v>484</v>
      </c>
      <c r="L237" t="s">
        <v>526</v>
      </c>
      <c r="M237" t="s">
        <v>665</v>
      </c>
      <c r="N237" t="s">
        <v>487</v>
      </c>
      <c r="O237" t="s">
        <v>553</v>
      </c>
      <c r="Q237" t="s">
        <v>488</v>
      </c>
      <c r="S237">
        <v>39685</v>
      </c>
      <c r="T237" t="s">
        <v>1003</v>
      </c>
      <c r="U237" t="s">
        <v>1004</v>
      </c>
      <c r="V237">
        <v>39.08</v>
      </c>
      <c r="W237">
        <v>1</v>
      </c>
      <c r="X237">
        <v>23788.5</v>
      </c>
      <c r="Z237" t="s">
        <v>491</v>
      </c>
      <c r="AA237" t="s">
        <v>491</v>
      </c>
      <c r="AC237" t="s">
        <v>491</v>
      </c>
      <c r="AD237" t="s">
        <v>492</v>
      </c>
      <c r="AE237" t="s">
        <v>492</v>
      </c>
      <c r="AF237">
        <v>2</v>
      </c>
      <c r="AG237">
        <v>2</v>
      </c>
      <c r="AH237">
        <v>0</v>
      </c>
      <c r="AI237">
        <v>0</v>
      </c>
      <c r="AJ237">
        <v>0</v>
      </c>
      <c r="AK237">
        <v>0</v>
      </c>
      <c r="AL237">
        <v>0</v>
      </c>
      <c r="AM237">
        <v>2</v>
      </c>
      <c r="AN237" t="s">
        <v>493</v>
      </c>
      <c r="AO237" t="s">
        <v>494</v>
      </c>
      <c r="AP237">
        <v>18</v>
      </c>
      <c r="AQ237" t="s">
        <v>495</v>
      </c>
      <c r="AR237" t="s">
        <v>496</v>
      </c>
      <c r="AS237">
        <v>2</v>
      </c>
      <c r="AT237" t="s">
        <v>497</v>
      </c>
      <c r="AU237" t="s">
        <v>1334</v>
      </c>
      <c r="AV237" t="s">
        <v>498</v>
      </c>
      <c r="AW237" t="s">
        <v>1336</v>
      </c>
      <c r="AX237">
        <v>44.794701119999999</v>
      </c>
      <c r="AY237">
        <v>-68.766163859999992</v>
      </c>
      <c r="AZ237">
        <v>4</v>
      </c>
      <c r="BA237" t="s">
        <v>606</v>
      </c>
      <c r="BB237" t="s">
        <v>501</v>
      </c>
      <c r="BC237">
        <v>3111001</v>
      </c>
      <c r="BD237">
        <v>4</v>
      </c>
      <c r="BE237" t="s">
        <v>502</v>
      </c>
      <c r="BF237" t="s">
        <v>503</v>
      </c>
      <c r="BG237" t="s">
        <v>504</v>
      </c>
      <c r="BH237" t="s">
        <v>505</v>
      </c>
      <c r="BI237">
        <v>214592</v>
      </c>
      <c r="BJ237">
        <v>0</v>
      </c>
    </row>
    <row r="238" spans="1:62" x14ac:dyDescent="0.35">
      <c r="A238" t="s">
        <v>1001</v>
      </c>
      <c r="B238" t="s">
        <v>1337</v>
      </c>
      <c r="C238" s="292">
        <v>45909</v>
      </c>
      <c r="D238" t="s">
        <v>479</v>
      </c>
      <c r="E238" t="s">
        <v>480</v>
      </c>
      <c r="F238" t="s">
        <v>924</v>
      </c>
      <c r="G238">
        <v>2025</v>
      </c>
      <c r="H238" t="s">
        <v>396</v>
      </c>
      <c r="I238" t="s">
        <v>482</v>
      </c>
      <c r="J238" t="s">
        <v>645</v>
      </c>
      <c r="K238" t="s">
        <v>576</v>
      </c>
      <c r="L238" t="s">
        <v>485</v>
      </c>
      <c r="M238" t="s">
        <v>486</v>
      </c>
      <c r="O238" t="s">
        <v>553</v>
      </c>
      <c r="Q238" t="s">
        <v>488</v>
      </c>
      <c r="T238" t="s">
        <v>1007</v>
      </c>
      <c r="U238" t="s">
        <v>1008</v>
      </c>
      <c r="V238">
        <v>0.70000000000000007</v>
      </c>
      <c r="W238">
        <v>2</v>
      </c>
      <c r="X238">
        <v>12893</v>
      </c>
      <c r="Y238">
        <v>25</v>
      </c>
      <c r="Z238" t="s">
        <v>491</v>
      </c>
      <c r="AA238" t="s">
        <v>491</v>
      </c>
      <c r="AC238" t="s">
        <v>646</v>
      </c>
      <c r="AD238" t="s">
        <v>492</v>
      </c>
      <c r="AE238" t="s">
        <v>492</v>
      </c>
      <c r="AF238">
        <v>2</v>
      </c>
      <c r="AG238">
        <v>2</v>
      </c>
      <c r="AH238">
        <v>1</v>
      </c>
      <c r="AI238">
        <v>0</v>
      </c>
      <c r="AJ238">
        <v>0</v>
      </c>
      <c r="AK238">
        <v>0</v>
      </c>
      <c r="AL238">
        <v>1</v>
      </c>
      <c r="AM238">
        <v>1</v>
      </c>
      <c r="AN238" t="s">
        <v>519</v>
      </c>
      <c r="AO238" t="s">
        <v>494</v>
      </c>
      <c r="AP238">
        <v>12</v>
      </c>
      <c r="AQ238" t="s">
        <v>396</v>
      </c>
      <c r="AR238" t="s">
        <v>672</v>
      </c>
      <c r="AS238">
        <v>3</v>
      </c>
      <c r="AT238" t="s">
        <v>497</v>
      </c>
      <c r="AU238" t="s">
        <v>1337</v>
      </c>
      <c r="AV238" t="s">
        <v>498</v>
      </c>
      <c r="AW238" t="s">
        <v>1338</v>
      </c>
      <c r="AX238">
        <v>44.79444668</v>
      </c>
      <c r="AY238">
        <v>-68.766372270000005</v>
      </c>
      <c r="AZ238">
        <v>9</v>
      </c>
      <c r="BA238" t="s">
        <v>601</v>
      </c>
      <c r="BB238" t="s">
        <v>501</v>
      </c>
      <c r="BC238">
        <v>3111000</v>
      </c>
      <c r="BD238">
        <v>4</v>
      </c>
      <c r="BE238" t="s">
        <v>502</v>
      </c>
      <c r="BF238" t="s">
        <v>503</v>
      </c>
      <c r="BG238" t="s">
        <v>504</v>
      </c>
      <c r="BH238" t="s">
        <v>560</v>
      </c>
      <c r="BI238">
        <v>219783</v>
      </c>
      <c r="BJ238">
        <v>0.06</v>
      </c>
    </row>
    <row r="239" spans="1:62" x14ac:dyDescent="0.35">
      <c r="A239" t="s">
        <v>1001</v>
      </c>
      <c r="B239" t="s">
        <v>1339</v>
      </c>
      <c r="C239" s="292">
        <v>44215</v>
      </c>
      <c r="D239" t="s">
        <v>479</v>
      </c>
      <c r="E239" t="s">
        <v>541</v>
      </c>
      <c r="F239" t="s">
        <v>1340</v>
      </c>
      <c r="G239">
        <v>2021</v>
      </c>
      <c r="H239" t="s">
        <v>396</v>
      </c>
      <c r="I239" t="s">
        <v>482</v>
      </c>
      <c r="J239" t="s">
        <v>510</v>
      </c>
      <c r="K239" t="s">
        <v>484</v>
      </c>
      <c r="L239" t="s">
        <v>485</v>
      </c>
      <c r="M239" t="s">
        <v>486</v>
      </c>
      <c r="N239" t="s">
        <v>487</v>
      </c>
      <c r="O239" t="s">
        <v>511</v>
      </c>
      <c r="Q239" t="s">
        <v>488</v>
      </c>
      <c r="S239">
        <v>39685</v>
      </c>
      <c r="T239" t="s">
        <v>1003</v>
      </c>
      <c r="U239" t="s">
        <v>1004</v>
      </c>
      <c r="V239">
        <v>39.08</v>
      </c>
      <c r="W239">
        <v>1</v>
      </c>
      <c r="X239">
        <v>23788.5</v>
      </c>
      <c r="Z239" t="s">
        <v>491</v>
      </c>
      <c r="AA239" t="s">
        <v>491</v>
      </c>
      <c r="AB239" t="s">
        <v>491</v>
      </c>
      <c r="AC239" t="s">
        <v>491</v>
      </c>
      <c r="AD239" t="s">
        <v>492</v>
      </c>
      <c r="AE239" t="s">
        <v>492</v>
      </c>
      <c r="AF239">
        <v>2</v>
      </c>
      <c r="AG239">
        <v>2</v>
      </c>
      <c r="AH239">
        <v>0</v>
      </c>
      <c r="AI239">
        <v>0</v>
      </c>
      <c r="AJ239">
        <v>0</v>
      </c>
      <c r="AK239">
        <v>0</v>
      </c>
      <c r="AL239">
        <v>0</v>
      </c>
      <c r="AM239">
        <v>2</v>
      </c>
      <c r="AN239" t="s">
        <v>493</v>
      </c>
      <c r="AO239" t="s">
        <v>494</v>
      </c>
      <c r="AP239">
        <v>7</v>
      </c>
      <c r="AQ239" t="s">
        <v>495</v>
      </c>
      <c r="AR239" t="s">
        <v>496</v>
      </c>
      <c r="AS239">
        <v>3</v>
      </c>
      <c r="AT239" t="s">
        <v>497</v>
      </c>
      <c r="AU239" t="s">
        <v>1341</v>
      </c>
      <c r="AV239" t="s">
        <v>498</v>
      </c>
      <c r="AW239" t="s">
        <v>1342</v>
      </c>
      <c r="AX239">
        <v>44.794701119999999</v>
      </c>
      <c r="AY239">
        <v>-68.766163859999992</v>
      </c>
      <c r="AZ239">
        <v>1</v>
      </c>
      <c r="BA239" t="s">
        <v>514</v>
      </c>
      <c r="BB239" t="s">
        <v>501</v>
      </c>
      <c r="BC239">
        <v>3111001</v>
      </c>
      <c r="BD239">
        <v>4</v>
      </c>
      <c r="BE239" t="s">
        <v>502</v>
      </c>
      <c r="BF239" t="s">
        <v>503</v>
      </c>
      <c r="BG239" t="s">
        <v>504</v>
      </c>
      <c r="BH239" t="s">
        <v>505</v>
      </c>
      <c r="BI239">
        <v>220105</v>
      </c>
      <c r="BJ239">
        <v>0</v>
      </c>
    </row>
    <row r="240" spans="1:62" x14ac:dyDescent="0.35">
      <c r="A240" t="s">
        <v>1001</v>
      </c>
      <c r="B240" t="s">
        <v>1343</v>
      </c>
      <c r="C240" s="292">
        <v>44357</v>
      </c>
      <c r="D240" t="s">
        <v>479</v>
      </c>
      <c r="E240" t="s">
        <v>516</v>
      </c>
      <c r="F240" t="s">
        <v>1180</v>
      </c>
      <c r="G240">
        <v>2021</v>
      </c>
      <c r="H240" t="s">
        <v>396</v>
      </c>
      <c r="I240" t="s">
        <v>482</v>
      </c>
      <c r="J240" t="s">
        <v>510</v>
      </c>
      <c r="K240" t="s">
        <v>576</v>
      </c>
      <c r="L240" t="s">
        <v>485</v>
      </c>
      <c r="M240" t="s">
        <v>486</v>
      </c>
      <c r="O240" t="s">
        <v>985</v>
      </c>
      <c r="Q240" t="s">
        <v>488</v>
      </c>
      <c r="T240" t="s">
        <v>1003</v>
      </c>
      <c r="U240" t="s">
        <v>1004</v>
      </c>
      <c r="V240">
        <v>39.32</v>
      </c>
      <c r="W240">
        <v>1</v>
      </c>
      <c r="X240">
        <v>8737</v>
      </c>
      <c r="Y240">
        <v>25</v>
      </c>
      <c r="Z240" t="s">
        <v>491</v>
      </c>
      <c r="AA240" t="s">
        <v>491</v>
      </c>
      <c r="AB240" t="s">
        <v>491</v>
      </c>
      <c r="AC240" t="s">
        <v>491</v>
      </c>
      <c r="AD240" t="s">
        <v>492</v>
      </c>
      <c r="AE240" t="s">
        <v>492</v>
      </c>
      <c r="AF240">
        <v>2</v>
      </c>
      <c r="AG240">
        <v>2</v>
      </c>
      <c r="AH240">
        <v>0</v>
      </c>
      <c r="AI240">
        <v>0</v>
      </c>
      <c r="AJ240">
        <v>0</v>
      </c>
      <c r="AK240">
        <v>0</v>
      </c>
      <c r="AL240">
        <v>0</v>
      </c>
      <c r="AM240">
        <v>2</v>
      </c>
      <c r="AN240" t="s">
        <v>493</v>
      </c>
      <c r="AO240" t="s">
        <v>494</v>
      </c>
      <c r="AP240">
        <v>9</v>
      </c>
      <c r="AQ240" t="s">
        <v>396</v>
      </c>
      <c r="AR240" t="s">
        <v>558</v>
      </c>
      <c r="AS240">
        <v>5</v>
      </c>
      <c r="AT240" t="s">
        <v>497</v>
      </c>
      <c r="AU240" t="s">
        <v>1343</v>
      </c>
      <c r="AV240" t="s">
        <v>498</v>
      </c>
      <c r="AW240" t="s">
        <v>1344</v>
      </c>
      <c r="AX240">
        <v>44.792542439999998</v>
      </c>
      <c r="AY240">
        <v>-68.762445589999999</v>
      </c>
      <c r="AZ240">
        <v>6</v>
      </c>
      <c r="BA240" t="s">
        <v>544</v>
      </c>
      <c r="BB240" t="s">
        <v>501</v>
      </c>
      <c r="BC240">
        <v>3944111</v>
      </c>
      <c r="BD240">
        <v>4</v>
      </c>
      <c r="BE240" t="s">
        <v>502</v>
      </c>
      <c r="BF240" t="s">
        <v>503</v>
      </c>
      <c r="BG240" t="s">
        <v>504</v>
      </c>
      <c r="BH240" t="s">
        <v>560</v>
      </c>
      <c r="BI240">
        <v>223182</v>
      </c>
      <c r="BJ240">
        <v>0.13</v>
      </c>
    </row>
    <row r="241" spans="1:62" x14ac:dyDescent="0.35">
      <c r="A241" t="s">
        <v>1001</v>
      </c>
      <c r="B241" t="s">
        <v>1345</v>
      </c>
      <c r="C241" s="292">
        <v>44383</v>
      </c>
      <c r="D241" t="s">
        <v>479</v>
      </c>
      <c r="E241" t="s">
        <v>541</v>
      </c>
      <c r="F241" t="s">
        <v>1027</v>
      </c>
      <c r="G241">
        <v>2021</v>
      </c>
      <c r="H241" t="s">
        <v>396</v>
      </c>
      <c r="I241" t="s">
        <v>482</v>
      </c>
      <c r="J241" t="s">
        <v>415</v>
      </c>
      <c r="K241" t="s">
        <v>484</v>
      </c>
      <c r="L241" t="s">
        <v>485</v>
      </c>
      <c r="M241" t="s">
        <v>563</v>
      </c>
      <c r="N241" t="s">
        <v>487</v>
      </c>
      <c r="O241" t="s">
        <v>488</v>
      </c>
      <c r="S241">
        <v>39685</v>
      </c>
      <c r="T241" t="s">
        <v>1003</v>
      </c>
      <c r="U241" t="s">
        <v>1004</v>
      </c>
      <c r="V241">
        <v>39.08</v>
      </c>
      <c r="W241">
        <v>1</v>
      </c>
      <c r="X241">
        <v>23788.5</v>
      </c>
      <c r="Z241" t="s">
        <v>646</v>
      </c>
      <c r="AA241" t="s">
        <v>491</v>
      </c>
      <c r="AB241" t="s">
        <v>491</v>
      </c>
      <c r="AC241" t="s">
        <v>491</v>
      </c>
      <c r="AD241" t="s">
        <v>492</v>
      </c>
      <c r="AE241" t="s">
        <v>492</v>
      </c>
      <c r="AF241">
        <v>2</v>
      </c>
      <c r="AG241">
        <v>2</v>
      </c>
      <c r="AH241">
        <v>1</v>
      </c>
      <c r="AI241">
        <v>0</v>
      </c>
      <c r="AJ241">
        <v>0</v>
      </c>
      <c r="AK241">
        <v>1</v>
      </c>
      <c r="AL241">
        <v>0</v>
      </c>
      <c r="AM241">
        <v>1</v>
      </c>
      <c r="AN241" t="s">
        <v>685</v>
      </c>
      <c r="AO241" t="s">
        <v>494</v>
      </c>
      <c r="AP241">
        <v>8</v>
      </c>
      <c r="AQ241" t="s">
        <v>495</v>
      </c>
      <c r="AR241" t="s">
        <v>496</v>
      </c>
      <c r="AS241">
        <v>3</v>
      </c>
      <c r="AT241" t="s">
        <v>497</v>
      </c>
      <c r="AU241" t="s">
        <v>1345</v>
      </c>
      <c r="AV241" t="s">
        <v>498</v>
      </c>
      <c r="AW241" t="s">
        <v>1346</v>
      </c>
      <c r="AX241">
        <v>44.794701119999999</v>
      </c>
      <c r="AY241">
        <v>-68.766163859999992</v>
      </c>
      <c r="AZ241">
        <v>7</v>
      </c>
      <c r="BA241" t="s">
        <v>500</v>
      </c>
      <c r="BB241" t="s">
        <v>501</v>
      </c>
      <c r="BC241">
        <v>3111001</v>
      </c>
      <c r="BD241">
        <v>4</v>
      </c>
      <c r="BE241" t="s">
        <v>502</v>
      </c>
      <c r="BF241" t="s">
        <v>503</v>
      </c>
      <c r="BG241" t="s">
        <v>504</v>
      </c>
      <c r="BH241" t="s">
        <v>505</v>
      </c>
      <c r="BI241">
        <v>223506</v>
      </c>
      <c r="BJ241">
        <v>0</v>
      </c>
    </row>
    <row r="242" spans="1:62" x14ac:dyDescent="0.35">
      <c r="A242" t="s">
        <v>1001</v>
      </c>
      <c r="B242" t="s">
        <v>1347</v>
      </c>
      <c r="C242" s="292">
        <v>43336</v>
      </c>
      <c r="D242" t="s">
        <v>479</v>
      </c>
      <c r="E242" t="s">
        <v>549</v>
      </c>
      <c r="F242" t="s">
        <v>1082</v>
      </c>
      <c r="G242">
        <v>2018</v>
      </c>
      <c r="H242" t="s">
        <v>396</v>
      </c>
      <c r="I242" t="s">
        <v>482</v>
      </c>
      <c r="J242" t="s">
        <v>483</v>
      </c>
      <c r="K242" t="s">
        <v>576</v>
      </c>
      <c r="L242" t="s">
        <v>485</v>
      </c>
      <c r="M242" t="s">
        <v>486</v>
      </c>
      <c r="N242" t="s">
        <v>487</v>
      </c>
      <c r="O242" t="s">
        <v>553</v>
      </c>
      <c r="Q242" t="s">
        <v>488</v>
      </c>
      <c r="T242" t="s">
        <v>1003</v>
      </c>
      <c r="U242" t="s">
        <v>1004</v>
      </c>
      <c r="V242">
        <v>39.880000000000003</v>
      </c>
      <c r="W242">
        <v>1</v>
      </c>
      <c r="X242">
        <v>9113</v>
      </c>
      <c r="Y242">
        <v>25</v>
      </c>
      <c r="Z242" t="s">
        <v>491</v>
      </c>
      <c r="AA242" t="s">
        <v>491</v>
      </c>
      <c r="AB242" t="s">
        <v>491</v>
      </c>
      <c r="AC242" t="s">
        <v>491</v>
      </c>
      <c r="AD242" t="s">
        <v>492</v>
      </c>
      <c r="AE242" t="s">
        <v>492</v>
      </c>
      <c r="AF242">
        <v>2</v>
      </c>
      <c r="AG242">
        <v>6</v>
      </c>
      <c r="AH242">
        <v>0</v>
      </c>
      <c r="AI242">
        <v>0</v>
      </c>
      <c r="AJ242">
        <v>0</v>
      </c>
      <c r="AK242">
        <v>0</v>
      </c>
      <c r="AL242">
        <v>0</v>
      </c>
      <c r="AM242">
        <v>6</v>
      </c>
      <c r="AN242" t="s">
        <v>493</v>
      </c>
      <c r="AO242" t="s">
        <v>494</v>
      </c>
      <c r="AP242">
        <v>14</v>
      </c>
      <c r="AQ242" t="s">
        <v>827</v>
      </c>
      <c r="AR242" t="s">
        <v>558</v>
      </c>
      <c r="AS242">
        <v>6</v>
      </c>
      <c r="AT242" t="s">
        <v>497</v>
      </c>
      <c r="AU242" t="s">
        <v>1347</v>
      </c>
      <c r="AV242" t="s">
        <v>498</v>
      </c>
      <c r="AW242" t="s">
        <v>1348</v>
      </c>
      <c r="AX242">
        <v>44.786441170000003</v>
      </c>
      <c r="AY242">
        <v>-68.754985090000005</v>
      </c>
      <c r="AZ242">
        <v>8</v>
      </c>
      <c r="BA242" t="s">
        <v>667</v>
      </c>
      <c r="BB242" t="s">
        <v>501</v>
      </c>
      <c r="BC242">
        <v>3129631</v>
      </c>
      <c r="BD242">
        <v>4</v>
      </c>
      <c r="BE242" t="s">
        <v>502</v>
      </c>
      <c r="BF242" t="s">
        <v>503</v>
      </c>
      <c r="BG242" t="s">
        <v>504</v>
      </c>
      <c r="BH242" t="s">
        <v>560</v>
      </c>
      <c r="BI242">
        <v>224899</v>
      </c>
      <c r="BJ242">
        <v>0.04</v>
      </c>
    </row>
    <row r="243" spans="1:62" x14ac:dyDescent="0.35">
      <c r="A243" t="s">
        <v>1001</v>
      </c>
      <c r="B243" t="s">
        <v>1349</v>
      </c>
      <c r="C243" s="292">
        <v>44853</v>
      </c>
      <c r="D243" t="s">
        <v>479</v>
      </c>
      <c r="E243" t="s">
        <v>574</v>
      </c>
      <c r="F243" t="s">
        <v>1111</v>
      </c>
      <c r="G243">
        <v>2022</v>
      </c>
      <c r="H243" t="s">
        <v>396</v>
      </c>
      <c r="I243" t="s">
        <v>509</v>
      </c>
      <c r="J243" t="s">
        <v>510</v>
      </c>
      <c r="K243" t="s">
        <v>484</v>
      </c>
      <c r="L243" t="s">
        <v>485</v>
      </c>
      <c r="M243" t="s">
        <v>486</v>
      </c>
      <c r="N243" t="s">
        <v>487</v>
      </c>
      <c r="Q243" t="s">
        <v>488</v>
      </c>
      <c r="S243">
        <v>39685</v>
      </c>
      <c r="T243" t="s">
        <v>1003</v>
      </c>
      <c r="U243" t="s">
        <v>1004</v>
      </c>
      <c r="V243">
        <v>39.08</v>
      </c>
      <c r="W243">
        <v>1</v>
      </c>
      <c r="X243">
        <v>23788.5</v>
      </c>
      <c r="Z243" t="s">
        <v>491</v>
      </c>
      <c r="AA243" t="s">
        <v>491</v>
      </c>
      <c r="AC243" t="s">
        <v>491</v>
      </c>
      <c r="AD243" t="s">
        <v>492</v>
      </c>
      <c r="AE243" t="s">
        <v>492</v>
      </c>
      <c r="AF243">
        <v>2</v>
      </c>
      <c r="AG243">
        <v>2</v>
      </c>
      <c r="AH243">
        <v>0</v>
      </c>
      <c r="AI243">
        <v>0</v>
      </c>
      <c r="AJ243">
        <v>0</v>
      </c>
      <c r="AK243">
        <v>0</v>
      </c>
      <c r="AL243">
        <v>0</v>
      </c>
      <c r="AM243">
        <v>2</v>
      </c>
      <c r="AN243" t="s">
        <v>493</v>
      </c>
      <c r="AO243" t="s">
        <v>494</v>
      </c>
      <c r="AP243">
        <v>17</v>
      </c>
      <c r="AQ243" t="s">
        <v>495</v>
      </c>
      <c r="AR243" t="s">
        <v>496</v>
      </c>
      <c r="AS243">
        <v>4</v>
      </c>
      <c r="AT243" t="s">
        <v>497</v>
      </c>
      <c r="AU243" t="s">
        <v>1349</v>
      </c>
      <c r="AV243" t="s">
        <v>498</v>
      </c>
      <c r="AW243" t="s">
        <v>1350</v>
      </c>
      <c r="AX243">
        <v>44.794701119999999</v>
      </c>
      <c r="AY243">
        <v>-68.766163859999992</v>
      </c>
      <c r="AZ243">
        <v>10</v>
      </c>
      <c r="BA243" t="s">
        <v>548</v>
      </c>
      <c r="BB243" t="s">
        <v>501</v>
      </c>
      <c r="BC243">
        <v>3111001</v>
      </c>
      <c r="BD243">
        <v>4</v>
      </c>
      <c r="BE243" t="s">
        <v>502</v>
      </c>
      <c r="BF243" t="s">
        <v>503</v>
      </c>
      <c r="BG243" t="s">
        <v>504</v>
      </c>
      <c r="BH243" t="s">
        <v>505</v>
      </c>
      <c r="BI243">
        <v>234828</v>
      </c>
      <c r="BJ243">
        <v>0</v>
      </c>
    </row>
    <row r="244" spans="1:62" x14ac:dyDescent="0.35">
      <c r="A244" t="s">
        <v>1001</v>
      </c>
      <c r="B244" t="s">
        <v>1351</v>
      </c>
      <c r="C244" s="292">
        <v>45187</v>
      </c>
      <c r="D244" t="s">
        <v>479</v>
      </c>
      <c r="E244" t="s">
        <v>536</v>
      </c>
      <c r="F244" t="s">
        <v>1352</v>
      </c>
      <c r="G244">
        <v>2023</v>
      </c>
      <c r="H244" t="s">
        <v>396</v>
      </c>
      <c r="I244" t="s">
        <v>509</v>
      </c>
      <c r="J244" t="s">
        <v>483</v>
      </c>
      <c r="K244" t="s">
        <v>484</v>
      </c>
      <c r="L244" t="s">
        <v>526</v>
      </c>
      <c r="M244" t="s">
        <v>665</v>
      </c>
      <c r="N244" t="s">
        <v>487</v>
      </c>
      <c r="O244" t="s">
        <v>488</v>
      </c>
      <c r="Q244" t="s">
        <v>488</v>
      </c>
      <c r="S244">
        <v>39685</v>
      </c>
      <c r="T244" t="s">
        <v>1003</v>
      </c>
      <c r="U244" t="s">
        <v>1004</v>
      </c>
      <c r="V244">
        <v>39.08</v>
      </c>
      <c r="W244">
        <v>1</v>
      </c>
      <c r="X244">
        <v>23788.5</v>
      </c>
      <c r="Z244" t="s">
        <v>491</v>
      </c>
      <c r="AA244" t="s">
        <v>491</v>
      </c>
      <c r="AC244" t="s">
        <v>491</v>
      </c>
      <c r="AD244" t="s">
        <v>492</v>
      </c>
      <c r="AE244" t="s">
        <v>492</v>
      </c>
      <c r="AF244">
        <v>2</v>
      </c>
      <c r="AG244">
        <v>3</v>
      </c>
      <c r="AH244">
        <v>0</v>
      </c>
      <c r="AI244">
        <v>0</v>
      </c>
      <c r="AJ244">
        <v>0</v>
      </c>
      <c r="AK244">
        <v>0</v>
      </c>
      <c r="AL244">
        <v>0</v>
      </c>
      <c r="AM244">
        <v>3</v>
      </c>
      <c r="AN244" t="s">
        <v>493</v>
      </c>
      <c r="AO244" t="s">
        <v>494</v>
      </c>
      <c r="AP244">
        <v>18</v>
      </c>
      <c r="AQ244" t="s">
        <v>495</v>
      </c>
      <c r="AR244" t="s">
        <v>496</v>
      </c>
      <c r="AS244">
        <v>2</v>
      </c>
      <c r="AT244" t="s">
        <v>497</v>
      </c>
      <c r="AU244" t="s">
        <v>1351</v>
      </c>
      <c r="AV244" t="s">
        <v>498</v>
      </c>
      <c r="AW244" t="s">
        <v>1353</v>
      </c>
      <c r="AX244">
        <v>44.794701119999999</v>
      </c>
      <c r="AY244">
        <v>-68.766163859999992</v>
      </c>
      <c r="AZ244">
        <v>9</v>
      </c>
      <c r="BA244" t="s">
        <v>601</v>
      </c>
      <c r="BB244" t="s">
        <v>501</v>
      </c>
      <c r="BC244">
        <v>3111001</v>
      </c>
      <c r="BD244">
        <v>4</v>
      </c>
      <c r="BE244" t="s">
        <v>502</v>
      </c>
      <c r="BF244" t="s">
        <v>503</v>
      </c>
      <c r="BG244" t="s">
        <v>504</v>
      </c>
      <c r="BH244" t="s">
        <v>505</v>
      </c>
      <c r="BI244">
        <v>235132</v>
      </c>
      <c r="BJ244">
        <v>0</v>
      </c>
    </row>
    <row r="245" spans="1:62" x14ac:dyDescent="0.35">
      <c r="A245" t="s">
        <v>1001</v>
      </c>
      <c r="B245" t="s">
        <v>1354</v>
      </c>
      <c r="C245" s="292">
        <v>45177</v>
      </c>
      <c r="D245" t="s">
        <v>479</v>
      </c>
      <c r="E245" t="s">
        <v>507</v>
      </c>
      <c r="F245" t="s">
        <v>1355</v>
      </c>
      <c r="G245">
        <v>2023</v>
      </c>
      <c r="H245" t="s">
        <v>396</v>
      </c>
      <c r="I245" t="s">
        <v>482</v>
      </c>
      <c r="J245" t="s">
        <v>510</v>
      </c>
      <c r="K245" t="s">
        <v>484</v>
      </c>
      <c r="L245" t="s">
        <v>485</v>
      </c>
      <c r="M245" t="s">
        <v>486</v>
      </c>
      <c r="N245" t="s">
        <v>487</v>
      </c>
      <c r="Q245" t="s">
        <v>488</v>
      </c>
      <c r="S245">
        <v>39685</v>
      </c>
      <c r="T245" t="s">
        <v>1003</v>
      </c>
      <c r="U245" t="s">
        <v>1004</v>
      </c>
      <c r="V245">
        <v>39.08</v>
      </c>
      <c r="W245">
        <v>1</v>
      </c>
      <c r="X245">
        <v>23788.5</v>
      </c>
      <c r="Z245" t="s">
        <v>491</v>
      </c>
      <c r="AA245" t="s">
        <v>491</v>
      </c>
      <c r="AC245" t="s">
        <v>491</v>
      </c>
      <c r="AD245" t="s">
        <v>492</v>
      </c>
      <c r="AE245" t="s">
        <v>492</v>
      </c>
      <c r="AF245">
        <v>2</v>
      </c>
      <c r="AG245">
        <v>2</v>
      </c>
      <c r="AH245">
        <v>0</v>
      </c>
      <c r="AI245">
        <v>0</v>
      </c>
      <c r="AJ245">
        <v>0</v>
      </c>
      <c r="AK245">
        <v>0</v>
      </c>
      <c r="AL245">
        <v>0</v>
      </c>
      <c r="AM245">
        <v>2</v>
      </c>
      <c r="AN245" t="s">
        <v>493</v>
      </c>
      <c r="AO245" t="s">
        <v>494</v>
      </c>
      <c r="AP245">
        <v>14</v>
      </c>
      <c r="AQ245" t="s">
        <v>495</v>
      </c>
      <c r="AR245" t="s">
        <v>496</v>
      </c>
      <c r="AS245">
        <v>6</v>
      </c>
      <c r="AT245" t="s">
        <v>497</v>
      </c>
      <c r="AU245" t="s">
        <v>1354</v>
      </c>
      <c r="AV245" t="s">
        <v>498</v>
      </c>
      <c r="AW245" t="s">
        <v>1356</v>
      </c>
      <c r="AX245">
        <v>44.794701119999999</v>
      </c>
      <c r="AY245">
        <v>-68.766163859999992</v>
      </c>
      <c r="AZ245">
        <v>9</v>
      </c>
      <c r="BA245" t="s">
        <v>601</v>
      </c>
      <c r="BB245" t="s">
        <v>501</v>
      </c>
      <c r="BC245">
        <v>3111001</v>
      </c>
      <c r="BD245">
        <v>4</v>
      </c>
      <c r="BE245" t="s">
        <v>502</v>
      </c>
      <c r="BF245" t="s">
        <v>503</v>
      </c>
      <c r="BG245" t="s">
        <v>504</v>
      </c>
      <c r="BH245" t="s">
        <v>505</v>
      </c>
      <c r="BI245">
        <v>235213</v>
      </c>
      <c r="BJ245">
        <v>0</v>
      </c>
    </row>
    <row r="246" spans="1:62" x14ac:dyDescent="0.35">
      <c r="A246" t="s">
        <v>1001</v>
      </c>
      <c r="B246" t="s">
        <v>1357</v>
      </c>
      <c r="C246" s="292">
        <v>43330</v>
      </c>
      <c r="D246" t="s">
        <v>479</v>
      </c>
      <c r="E246" t="s">
        <v>552</v>
      </c>
      <c r="F246" t="s">
        <v>1358</v>
      </c>
      <c r="G246">
        <v>2018</v>
      </c>
      <c r="H246" t="s">
        <v>396</v>
      </c>
      <c r="I246" t="s">
        <v>482</v>
      </c>
      <c r="J246" t="s">
        <v>510</v>
      </c>
      <c r="K246" t="s">
        <v>484</v>
      </c>
      <c r="L246" t="s">
        <v>485</v>
      </c>
      <c r="M246" t="s">
        <v>563</v>
      </c>
      <c r="N246" t="s">
        <v>487</v>
      </c>
      <c r="O246" t="s">
        <v>564</v>
      </c>
      <c r="Q246" t="s">
        <v>488</v>
      </c>
      <c r="S246">
        <v>39685</v>
      </c>
      <c r="T246" t="s">
        <v>1003</v>
      </c>
      <c r="U246" t="s">
        <v>1004</v>
      </c>
      <c r="V246">
        <v>39.08</v>
      </c>
      <c r="W246">
        <v>1</v>
      </c>
      <c r="X246">
        <v>23788.5</v>
      </c>
      <c r="Z246" t="s">
        <v>491</v>
      </c>
      <c r="AA246" t="s">
        <v>491</v>
      </c>
      <c r="AB246" t="s">
        <v>491</v>
      </c>
      <c r="AC246" t="s">
        <v>491</v>
      </c>
      <c r="AD246" t="s">
        <v>492</v>
      </c>
      <c r="AE246" t="s">
        <v>492</v>
      </c>
      <c r="AF246">
        <v>3</v>
      </c>
      <c r="AG246">
        <v>3</v>
      </c>
      <c r="AH246">
        <v>0</v>
      </c>
      <c r="AI246">
        <v>0</v>
      </c>
      <c r="AJ246">
        <v>0</v>
      </c>
      <c r="AK246">
        <v>0</v>
      </c>
      <c r="AL246">
        <v>0</v>
      </c>
      <c r="AM246">
        <v>3</v>
      </c>
      <c r="AN246" t="s">
        <v>493</v>
      </c>
      <c r="AO246" t="s">
        <v>494</v>
      </c>
      <c r="AP246">
        <v>11</v>
      </c>
      <c r="AQ246" t="s">
        <v>495</v>
      </c>
      <c r="AR246" t="s">
        <v>496</v>
      </c>
      <c r="AS246">
        <v>7</v>
      </c>
      <c r="AT246" t="s">
        <v>497</v>
      </c>
      <c r="AU246" t="s">
        <v>1357</v>
      </c>
      <c r="AV246" t="s">
        <v>498</v>
      </c>
      <c r="AW246" t="s">
        <v>1359</v>
      </c>
      <c r="AX246">
        <v>44.794701119999999</v>
      </c>
      <c r="AY246">
        <v>-68.766163859999992</v>
      </c>
      <c r="AZ246">
        <v>8</v>
      </c>
      <c r="BA246" t="s">
        <v>667</v>
      </c>
      <c r="BB246" t="s">
        <v>501</v>
      </c>
      <c r="BC246">
        <v>3111001</v>
      </c>
      <c r="BD246">
        <v>4</v>
      </c>
      <c r="BE246" t="s">
        <v>502</v>
      </c>
      <c r="BF246" t="s">
        <v>503</v>
      </c>
      <c r="BG246" t="s">
        <v>504</v>
      </c>
      <c r="BH246" t="s">
        <v>505</v>
      </c>
      <c r="BI246">
        <v>235394</v>
      </c>
      <c r="BJ246">
        <v>0</v>
      </c>
    </row>
    <row r="247" spans="1:62" x14ac:dyDescent="0.35">
      <c r="A247" t="s">
        <v>1001</v>
      </c>
      <c r="B247" t="s">
        <v>1360</v>
      </c>
      <c r="C247" s="292">
        <v>43347</v>
      </c>
      <c r="D247" t="s">
        <v>479</v>
      </c>
      <c r="E247" t="s">
        <v>541</v>
      </c>
      <c r="F247" t="s">
        <v>1361</v>
      </c>
      <c r="G247">
        <v>2018</v>
      </c>
      <c r="H247" t="s">
        <v>396</v>
      </c>
      <c r="I247" t="s">
        <v>482</v>
      </c>
      <c r="J247" t="s">
        <v>510</v>
      </c>
      <c r="K247" t="s">
        <v>484</v>
      </c>
      <c r="L247" t="s">
        <v>485</v>
      </c>
      <c r="M247" t="s">
        <v>486</v>
      </c>
      <c r="N247" t="s">
        <v>487</v>
      </c>
      <c r="O247" t="s">
        <v>564</v>
      </c>
      <c r="Q247" t="s">
        <v>488</v>
      </c>
      <c r="S247">
        <v>39685</v>
      </c>
      <c r="T247" t="s">
        <v>1003</v>
      </c>
      <c r="U247" t="s">
        <v>1004</v>
      </c>
      <c r="V247">
        <v>39.08</v>
      </c>
      <c r="W247">
        <v>1</v>
      </c>
      <c r="X247">
        <v>23788.5</v>
      </c>
      <c r="Z247" t="s">
        <v>491</v>
      </c>
      <c r="AA247" t="s">
        <v>491</v>
      </c>
      <c r="AB247" t="s">
        <v>491</v>
      </c>
      <c r="AC247" t="s">
        <v>491</v>
      </c>
      <c r="AD247" t="s">
        <v>492</v>
      </c>
      <c r="AE247" t="s">
        <v>492</v>
      </c>
      <c r="AF247">
        <v>2</v>
      </c>
      <c r="AG247">
        <v>2</v>
      </c>
      <c r="AH247">
        <v>0</v>
      </c>
      <c r="AI247">
        <v>0</v>
      </c>
      <c r="AJ247">
        <v>0</v>
      </c>
      <c r="AK247">
        <v>0</v>
      </c>
      <c r="AL247">
        <v>0</v>
      </c>
      <c r="AM247">
        <v>2</v>
      </c>
      <c r="AN247" t="s">
        <v>493</v>
      </c>
      <c r="AO247" t="s">
        <v>494</v>
      </c>
      <c r="AP247">
        <v>13</v>
      </c>
      <c r="AQ247" t="s">
        <v>495</v>
      </c>
      <c r="AR247" t="s">
        <v>496</v>
      </c>
      <c r="AS247">
        <v>3</v>
      </c>
      <c r="AT247" t="s">
        <v>497</v>
      </c>
      <c r="AU247" t="s">
        <v>1360</v>
      </c>
      <c r="AV247" t="s">
        <v>498</v>
      </c>
      <c r="AW247" t="s">
        <v>1362</v>
      </c>
      <c r="AX247">
        <v>44.794701119999999</v>
      </c>
      <c r="AY247">
        <v>-68.766163859999992</v>
      </c>
      <c r="AZ247">
        <v>9</v>
      </c>
      <c r="BA247" t="s">
        <v>601</v>
      </c>
      <c r="BB247" t="s">
        <v>501</v>
      </c>
      <c r="BC247">
        <v>3111001</v>
      </c>
      <c r="BD247">
        <v>4</v>
      </c>
      <c r="BE247" t="s">
        <v>502</v>
      </c>
      <c r="BF247" t="s">
        <v>503</v>
      </c>
      <c r="BG247" t="s">
        <v>504</v>
      </c>
      <c r="BH247" t="s">
        <v>505</v>
      </c>
      <c r="BI247">
        <v>235908</v>
      </c>
      <c r="BJ247">
        <v>0</v>
      </c>
    </row>
    <row r="248" spans="1:62" x14ac:dyDescent="0.35">
      <c r="A248" t="s">
        <v>1001</v>
      </c>
      <c r="B248" t="s">
        <v>1363</v>
      </c>
      <c r="C248" s="292">
        <v>43301</v>
      </c>
      <c r="D248" t="s">
        <v>479</v>
      </c>
      <c r="E248" t="s">
        <v>549</v>
      </c>
      <c r="F248" t="s">
        <v>1364</v>
      </c>
      <c r="G248">
        <v>2018</v>
      </c>
      <c r="H248" t="s">
        <v>396</v>
      </c>
      <c r="I248" t="s">
        <v>482</v>
      </c>
      <c r="J248" t="s">
        <v>645</v>
      </c>
      <c r="K248" t="s">
        <v>525</v>
      </c>
      <c r="L248" t="s">
        <v>485</v>
      </c>
      <c r="M248" t="s">
        <v>486</v>
      </c>
      <c r="N248" t="s">
        <v>487</v>
      </c>
      <c r="O248" t="s">
        <v>586</v>
      </c>
      <c r="S248">
        <v>39763</v>
      </c>
      <c r="T248" t="s">
        <v>1003</v>
      </c>
      <c r="U248" t="s">
        <v>1004</v>
      </c>
      <c r="V248">
        <v>39.93</v>
      </c>
      <c r="W248">
        <v>1</v>
      </c>
      <c r="X248">
        <v>9701</v>
      </c>
      <c r="Z248" t="s">
        <v>491</v>
      </c>
      <c r="AA248" t="s">
        <v>491</v>
      </c>
      <c r="AB248" t="s">
        <v>491</v>
      </c>
      <c r="AC248" t="s">
        <v>646</v>
      </c>
      <c r="AD248" t="s">
        <v>492</v>
      </c>
      <c r="AE248" t="s">
        <v>492</v>
      </c>
      <c r="AF248">
        <v>1</v>
      </c>
      <c r="AG248">
        <v>1</v>
      </c>
      <c r="AH248">
        <v>1</v>
      </c>
      <c r="AI248">
        <v>0</v>
      </c>
      <c r="AJ248">
        <v>1</v>
      </c>
      <c r="AK248">
        <v>0</v>
      </c>
      <c r="AL248">
        <v>0</v>
      </c>
      <c r="AM248">
        <v>0</v>
      </c>
      <c r="AN248" t="s">
        <v>1314</v>
      </c>
      <c r="AO248" t="s">
        <v>494</v>
      </c>
      <c r="AP248">
        <v>19</v>
      </c>
      <c r="AQ248" t="s">
        <v>396</v>
      </c>
      <c r="AR248" t="s">
        <v>496</v>
      </c>
      <c r="AS248">
        <v>6</v>
      </c>
      <c r="AT248" t="s">
        <v>497</v>
      </c>
      <c r="AU248" t="s">
        <v>1363</v>
      </c>
      <c r="AV248" t="s">
        <v>498</v>
      </c>
      <c r="AW248" t="s">
        <v>1365</v>
      </c>
      <c r="AX248">
        <v>44.785882839999999</v>
      </c>
      <c r="AY248">
        <v>-68.754314620000002</v>
      </c>
      <c r="AZ248">
        <v>7</v>
      </c>
      <c r="BA248" t="s">
        <v>500</v>
      </c>
      <c r="BB248" t="s">
        <v>501</v>
      </c>
      <c r="BC248">
        <v>3111058</v>
      </c>
      <c r="BD248">
        <v>4</v>
      </c>
      <c r="BE248" t="s">
        <v>502</v>
      </c>
      <c r="BF248" t="s">
        <v>503</v>
      </c>
      <c r="BG248" t="s">
        <v>504</v>
      </c>
      <c r="BH248" t="s">
        <v>505</v>
      </c>
      <c r="BI248">
        <v>236074</v>
      </c>
      <c r="BJ248">
        <v>0</v>
      </c>
    </row>
    <row r="249" spans="1:62" x14ac:dyDescent="0.35">
      <c r="A249" t="s">
        <v>1001</v>
      </c>
      <c r="B249" t="s">
        <v>1366</v>
      </c>
      <c r="C249" s="292">
        <v>44260</v>
      </c>
      <c r="D249" t="s">
        <v>479</v>
      </c>
      <c r="E249" t="s">
        <v>549</v>
      </c>
      <c r="F249" t="s">
        <v>1367</v>
      </c>
      <c r="G249">
        <v>2021</v>
      </c>
      <c r="H249" t="s">
        <v>396</v>
      </c>
      <c r="I249" t="s">
        <v>482</v>
      </c>
      <c r="J249" t="s">
        <v>510</v>
      </c>
      <c r="K249" t="s">
        <v>484</v>
      </c>
      <c r="L249" t="s">
        <v>485</v>
      </c>
      <c r="M249" t="s">
        <v>486</v>
      </c>
      <c r="N249" t="s">
        <v>487</v>
      </c>
      <c r="O249" t="s">
        <v>564</v>
      </c>
      <c r="Q249" t="s">
        <v>488</v>
      </c>
      <c r="S249">
        <v>39685</v>
      </c>
      <c r="T249" t="s">
        <v>1003</v>
      </c>
      <c r="U249" t="s">
        <v>1004</v>
      </c>
      <c r="V249">
        <v>39.08</v>
      </c>
      <c r="W249">
        <v>1</v>
      </c>
      <c r="X249">
        <v>23788.5</v>
      </c>
      <c r="Z249" t="s">
        <v>491</v>
      </c>
      <c r="AA249" t="s">
        <v>491</v>
      </c>
      <c r="AB249" t="s">
        <v>491</v>
      </c>
      <c r="AC249" t="s">
        <v>491</v>
      </c>
      <c r="AD249" t="s">
        <v>492</v>
      </c>
      <c r="AE249" t="s">
        <v>492</v>
      </c>
      <c r="AF249">
        <v>2</v>
      </c>
      <c r="AG249">
        <v>2</v>
      </c>
      <c r="AH249">
        <v>0</v>
      </c>
      <c r="AI249">
        <v>0</v>
      </c>
      <c r="AJ249">
        <v>0</v>
      </c>
      <c r="AK249">
        <v>0</v>
      </c>
      <c r="AL249">
        <v>0</v>
      </c>
      <c r="AM249">
        <v>2</v>
      </c>
      <c r="AN249" t="s">
        <v>493</v>
      </c>
      <c r="AO249" t="s">
        <v>494</v>
      </c>
      <c r="AP249">
        <v>11</v>
      </c>
      <c r="AQ249" t="s">
        <v>495</v>
      </c>
      <c r="AR249" t="s">
        <v>496</v>
      </c>
      <c r="AS249">
        <v>6</v>
      </c>
      <c r="AT249" t="s">
        <v>497</v>
      </c>
      <c r="AU249" t="s">
        <v>1368</v>
      </c>
      <c r="AV249" t="s">
        <v>498</v>
      </c>
      <c r="AW249" t="s">
        <v>1369</v>
      </c>
      <c r="AX249">
        <v>44.794701119999999</v>
      </c>
      <c r="AY249">
        <v>-68.766163859999992</v>
      </c>
      <c r="AZ249">
        <v>3</v>
      </c>
      <c r="BA249" t="s">
        <v>622</v>
      </c>
      <c r="BB249" t="s">
        <v>501</v>
      </c>
      <c r="BC249">
        <v>3111001</v>
      </c>
      <c r="BD249">
        <v>4</v>
      </c>
      <c r="BE249" t="s">
        <v>502</v>
      </c>
      <c r="BF249" t="s">
        <v>503</v>
      </c>
      <c r="BG249" t="s">
        <v>504</v>
      </c>
      <c r="BH249" t="s">
        <v>505</v>
      </c>
      <c r="BI249">
        <v>237287</v>
      </c>
      <c r="BJ249">
        <v>0</v>
      </c>
    </row>
    <row r="250" spans="1:62" x14ac:dyDescent="0.35">
      <c r="A250" t="s">
        <v>1001</v>
      </c>
      <c r="B250" t="s">
        <v>1370</v>
      </c>
      <c r="C250" s="292">
        <v>45441</v>
      </c>
      <c r="D250" t="s">
        <v>479</v>
      </c>
      <c r="E250" t="s">
        <v>574</v>
      </c>
      <c r="F250" t="s">
        <v>1228</v>
      </c>
      <c r="G250">
        <v>2024</v>
      </c>
      <c r="H250" t="s">
        <v>396</v>
      </c>
      <c r="I250" t="s">
        <v>482</v>
      </c>
      <c r="J250" t="s">
        <v>510</v>
      </c>
      <c r="K250" t="s">
        <v>556</v>
      </c>
      <c r="L250" t="s">
        <v>485</v>
      </c>
      <c r="M250" t="s">
        <v>486</v>
      </c>
      <c r="O250" t="s">
        <v>564</v>
      </c>
      <c r="Q250" t="s">
        <v>488</v>
      </c>
      <c r="T250" t="s">
        <v>1003</v>
      </c>
      <c r="U250" t="s">
        <v>1004</v>
      </c>
      <c r="V250">
        <v>39.86</v>
      </c>
      <c r="W250">
        <v>1</v>
      </c>
      <c r="X250">
        <v>9113</v>
      </c>
      <c r="Y250">
        <v>25</v>
      </c>
      <c r="Z250" t="s">
        <v>491</v>
      </c>
      <c r="AA250" t="s">
        <v>491</v>
      </c>
      <c r="AC250" t="s">
        <v>491</v>
      </c>
      <c r="AD250" t="s">
        <v>492</v>
      </c>
      <c r="AE250" t="s">
        <v>492</v>
      </c>
      <c r="AF250">
        <v>2</v>
      </c>
      <c r="AG250">
        <v>3</v>
      </c>
      <c r="AH250">
        <v>0</v>
      </c>
      <c r="AI250">
        <v>0</v>
      </c>
      <c r="AJ250">
        <v>0</v>
      </c>
      <c r="AK250">
        <v>0</v>
      </c>
      <c r="AL250">
        <v>0</v>
      </c>
      <c r="AM250">
        <v>3</v>
      </c>
      <c r="AN250" t="s">
        <v>493</v>
      </c>
      <c r="AO250" t="s">
        <v>494</v>
      </c>
      <c r="AP250">
        <v>10</v>
      </c>
      <c r="AQ250" t="s">
        <v>396</v>
      </c>
      <c r="AR250" t="s">
        <v>558</v>
      </c>
      <c r="AS250">
        <v>4</v>
      </c>
      <c r="AT250" t="s">
        <v>497</v>
      </c>
      <c r="AU250" t="s">
        <v>1370</v>
      </c>
      <c r="AV250" t="s">
        <v>498</v>
      </c>
      <c r="AW250" t="s">
        <v>1371</v>
      </c>
      <c r="AX250">
        <v>44.7866669</v>
      </c>
      <c r="AY250">
        <v>-68.755263769999999</v>
      </c>
      <c r="AZ250">
        <v>5</v>
      </c>
      <c r="BA250" t="s">
        <v>597</v>
      </c>
      <c r="BB250" t="s">
        <v>501</v>
      </c>
      <c r="BC250">
        <v>3129631</v>
      </c>
      <c r="BD250">
        <v>4</v>
      </c>
      <c r="BE250" t="s">
        <v>502</v>
      </c>
      <c r="BF250" t="s">
        <v>503</v>
      </c>
      <c r="BG250" t="s">
        <v>504</v>
      </c>
      <c r="BH250" t="s">
        <v>560</v>
      </c>
      <c r="BI250">
        <v>238812</v>
      </c>
      <c r="BJ250">
        <v>0.02</v>
      </c>
    </row>
    <row r="251" spans="1:62" x14ac:dyDescent="0.35">
      <c r="A251" t="s">
        <v>1001</v>
      </c>
      <c r="B251" t="s">
        <v>1372</v>
      </c>
      <c r="C251" s="292">
        <v>45520</v>
      </c>
      <c r="D251" t="s">
        <v>479</v>
      </c>
      <c r="E251" t="s">
        <v>507</v>
      </c>
      <c r="F251" t="s">
        <v>1373</v>
      </c>
      <c r="G251">
        <v>2024</v>
      </c>
      <c r="H251" t="s">
        <v>396</v>
      </c>
      <c r="I251" t="s">
        <v>509</v>
      </c>
      <c r="J251" t="s">
        <v>185</v>
      </c>
      <c r="K251" t="s">
        <v>525</v>
      </c>
      <c r="L251" t="s">
        <v>485</v>
      </c>
      <c r="M251" t="s">
        <v>486</v>
      </c>
      <c r="N251" t="s">
        <v>487</v>
      </c>
      <c r="S251">
        <v>39765</v>
      </c>
      <c r="T251" t="s">
        <v>1003</v>
      </c>
      <c r="U251" t="s">
        <v>1004</v>
      </c>
      <c r="V251">
        <v>39.72</v>
      </c>
      <c r="W251">
        <v>1</v>
      </c>
      <c r="X251">
        <v>8872</v>
      </c>
      <c r="Z251" t="s">
        <v>491</v>
      </c>
      <c r="AA251" t="s">
        <v>646</v>
      </c>
      <c r="AC251" t="s">
        <v>491</v>
      </c>
      <c r="AD251" t="s">
        <v>492</v>
      </c>
      <c r="AE251" t="s">
        <v>492</v>
      </c>
      <c r="AF251">
        <v>2</v>
      </c>
      <c r="AG251">
        <v>1</v>
      </c>
      <c r="AH251">
        <v>1</v>
      </c>
      <c r="AI251">
        <v>0</v>
      </c>
      <c r="AJ251">
        <v>0</v>
      </c>
      <c r="AK251">
        <v>1</v>
      </c>
      <c r="AL251">
        <v>0</v>
      </c>
      <c r="AM251">
        <v>0</v>
      </c>
      <c r="AN251" t="s">
        <v>685</v>
      </c>
      <c r="AO251" t="s">
        <v>494</v>
      </c>
      <c r="AP251">
        <v>19</v>
      </c>
      <c r="AQ251" t="s">
        <v>795</v>
      </c>
      <c r="AR251" t="s">
        <v>496</v>
      </c>
      <c r="AS251">
        <v>6</v>
      </c>
      <c r="AT251" t="s">
        <v>497</v>
      </c>
      <c r="AU251" t="s">
        <v>1372</v>
      </c>
      <c r="AV251" t="s">
        <v>498</v>
      </c>
      <c r="AW251" t="s">
        <v>1374</v>
      </c>
      <c r="AX251">
        <v>44.78820692</v>
      </c>
      <c r="AY251">
        <v>-68.757189269999998</v>
      </c>
      <c r="AZ251">
        <v>8</v>
      </c>
      <c r="BA251" t="s">
        <v>667</v>
      </c>
      <c r="BB251" t="s">
        <v>501</v>
      </c>
      <c r="BC251">
        <v>3132133</v>
      </c>
      <c r="BD251">
        <v>4</v>
      </c>
      <c r="BE251" t="s">
        <v>502</v>
      </c>
      <c r="BF251" t="s">
        <v>503</v>
      </c>
      <c r="BG251" t="s">
        <v>504</v>
      </c>
      <c r="BH251" t="s">
        <v>505</v>
      </c>
      <c r="BI251">
        <v>241459</v>
      </c>
      <c r="BJ251">
        <v>0</v>
      </c>
    </row>
    <row r="252" spans="1:62" x14ac:dyDescent="0.35">
      <c r="A252" t="s">
        <v>1001</v>
      </c>
      <c r="B252" t="s">
        <v>1375</v>
      </c>
      <c r="C252" s="292">
        <v>44837</v>
      </c>
      <c r="D252" t="s">
        <v>479</v>
      </c>
      <c r="E252" t="s">
        <v>523</v>
      </c>
      <c r="F252" t="s">
        <v>1295</v>
      </c>
      <c r="G252">
        <v>2022</v>
      </c>
      <c r="H252" t="s">
        <v>396</v>
      </c>
      <c r="I252" t="s">
        <v>482</v>
      </c>
      <c r="J252" t="s">
        <v>483</v>
      </c>
      <c r="K252" t="s">
        <v>525</v>
      </c>
      <c r="L252" t="s">
        <v>485</v>
      </c>
      <c r="M252" t="s">
        <v>486</v>
      </c>
      <c r="N252" t="s">
        <v>487</v>
      </c>
      <c r="O252" t="s">
        <v>564</v>
      </c>
      <c r="Q252" t="s">
        <v>488</v>
      </c>
      <c r="S252">
        <v>60190</v>
      </c>
      <c r="T252" t="s">
        <v>1003</v>
      </c>
      <c r="U252" t="s">
        <v>1004</v>
      </c>
      <c r="V252">
        <v>39.9</v>
      </c>
      <c r="W252">
        <v>1</v>
      </c>
      <c r="X252">
        <v>9615</v>
      </c>
      <c r="Z252" t="s">
        <v>491</v>
      </c>
      <c r="AA252" t="s">
        <v>491</v>
      </c>
      <c r="AC252" t="s">
        <v>491</v>
      </c>
      <c r="AD252" t="s">
        <v>492</v>
      </c>
      <c r="AE252" t="s">
        <v>492</v>
      </c>
      <c r="AF252">
        <v>2</v>
      </c>
      <c r="AG252">
        <v>2</v>
      </c>
      <c r="AH252">
        <v>0</v>
      </c>
      <c r="AI252">
        <v>0</v>
      </c>
      <c r="AJ252">
        <v>0</v>
      </c>
      <c r="AK252">
        <v>0</v>
      </c>
      <c r="AL252">
        <v>0</v>
      </c>
      <c r="AM252">
        <v>2</v>
      </c>
      <c r="AN252" t="s">
        <v>493</v>
      </c>
      <c r="AO252" t="s">
        <v>494</v>
      </c>
      <c r="AP252">
        <v>14</v>
      </c>
      <c r="AQ252" t="s">
        <v>795</v>
      </c>
      <c r="AR252" t="s">
        <v>496</v>
      </c>
      <c r="AS252">
        <v>2</v>
      </c>
      <c r="AT252" t="s">
        <v>497</v>
      </c>
      <c r="AU252" t="s">
        <v>1375</v>
      </c>
      <c r="AV252" t="s">
        <v>498</v>
      </c>
      <c r="AW252" t="s">
        <v>1376</v>
      </c>
      <c r="AX252">
        <v>44.786212310000003</v>
      </c>
      <c r="AY252">
        <v>-68.754702559999998</v>
      </c>
      <c r="AZ252">
        <v>10</v>
      </c>
      <c r="BA252" t="s">
        <v>548</v>
      </c>
      <c r="BB252" t="s">
        <v>501</v>
      </c>
      <c r="BC252">
        <v>2071517</v>
      </c>
      <c r="BD252">
        <v>4</v>
      </c>
      <c r="BE252" t="s">
        <v>502</v>
      </c>
      <c r="BF252" t="s">
        <v>503</v>
      </c>
      <c r="BG252" t="s">
        <v>504</v>
      </c>
      <c r="BH252" t="s">
        <v>505</v>
      </c>
      <c r="BI252">
        <v>242104</v>
      </c>
      <c r="BJ252">
        <v>0</v>
      </c>
    </row>
    <row r="253" spans="1:62" x14ac:dyDescent="0.35">
      <c r="A253" t="s">
        <v>1001</v>
      </c>
      <c r="B253" t="s">
        <v>1377</v>
      </c>
      <c r="C253" s="292">
        <v>44971</v>
      </c>
      <c r="D253" t="s">
        <v>479</v>
      </c>
      <c r="E253" t="s">
        <v>541</v>
      </c>
      <c r="F253" t="s">
        <v>1378</v>
      </c>
      <c r="G253">
        <v>2023</v>
      </c>
      <c r="H253" t="s">
        <v>396</v>
      </c>
      <c r="I253" t="s">
        <v>482</v>
      </c>
      <c r="J253" t="s">
        <v>510</v>
      </c>
      <c r="K253" t="s">
        <v>484</v>
      </c>
      <c r="L253" t="s">
        <v>485</v>
      </c>
      <c r="M253" t="s">
        <v>486</v>
      </c>
      <c r="N253" t="s">
        <v>487</v>
      </c>
      <c r="O253" t="s">
        <v>511</v>
      </c>
      <c r="Q253" t="s">
        <v>488</v>
      </c>
      <c r="S253">
        <v>39685</v>
      </c>
      <c r="T253" t="s">
        <v>1003</v>
      </c>
      <c r="U253" t="s">
        <v>1004</v>
      </c>
      <c r="V253">
        <v>39.08</v>
      </c>
      <c r="W253">
        <v>1</v>
      </c>
      <c r="X253">
        <v>23788.5</v>
      </c>
      <c r="Z253" t="s">
        <v>491</v>
      </c>
      <c r="AA253" t="s">
        <v>491</v>
      </c>
      <c r="AC253" t="s">
        <v>491</v>
      </c>
      <c r="AD253" t="s">
        <v>492</v>
      </c>
      <c r="AE253" t="s">
        <v>492</v>
      </c>
      <c r="AF253">
        <v>2</v>
      </c>
      <c r="AG253">
        <v>2</v>
      </c>
      <c r="AH253">
        <v>0</v>
      </c>
      <c r="AI253">
        <v>0</v>
      </c>
      <c r="AJ253">
        <v>0</v>
      </c>
      <c r="AK253">
        <v>0</v>
      </c>
      <c r="AL253">
        <v>0</v>
      </c>
      <c r="AM253">
        <v>2</v>
      </c>
      <c r="AN253" t="s">
        <v>493</v>
      </c>
      <c r="AO253" t="s">
        <v>494</v>
      </c>
      <c r="AP253">
        <v>14</v>
      </c>
      <c r="AQ253" t="s">
        <v>495</v>
      </c>
      <c r="AR253" t="s">
        <v>496</v>
      </c>
      <c r="AS253">
        <v>3</v>
      </c>
      <c r="AT253" t="s">
        <v>497</v>
      </c>
      <c r="AU253" t="s">
        <v>1379</v>
      </c>
      <c r="AV253" t="s">
        <v>498</v>
      </c>
      <c r="AW253" t="s">
        <v>1380</v>
      </c>
      <c r="AX253">
        <v>44.794701119999999</v>
      </c>
      <c r="AY253">
        <v>-68.766163859999992</v>
      </c>
      <c r="AZ253">
        <v>2</v>
      </c>
      <c r="BA253" t="s">
        <v>675</v>
      </c>
      <c r="BB253" t="s">
        <v>501</v>
      </c>
      <c r="BC253">
        <v>3111001</v>
      </c>
      <c r="BD253">
        <v>4</v>
      </c>
      <c r="BE253" t="s">
        <v>502</v>
      </c>
      <c r="BF253" t="s">
        <v>503</v>
      </c>
      <c r="BG253" t="s">
        <v>504</v>
      </c>
      <c r="BH253" t="s">
        <v>505</v>
      </c>
      <c r="BI253">
        <v>243625</v>
      </c>
      <c r="BJ253">
        <v>0</v>
      </c>
    </row>
    <row r="254" spans="1:62" x14ac:dyDescent="0.35">
      <c r="A254" t="s">
        <v>1001</v>
      </c>
      <c r="B254" t="s">
        <v>1381</v>
      </c>
      <c r="C254" s="292">
        <v>43749</v>
      </c>
      <c r="D254" t="s">
        <v>479</v>
      </c>
      <c r="E254" t="s">
        <v>549</v>
      </c>
      <c r="F254" t="s">
        <v>748</v>
      </c>
      <c r="G254">
        <v>2019</v>
      </c>
      <c r="H254" t="s">
        <v>396</v>
      </c>
      <c r="I254" t="s">
        <v>482</v>
      </c>
      <c r="J254" t="s">
        <v>483</v>
      </c>
      <c r="K254" t="s">
        <v>525</v>
      </c>
      <c r="L254" t="s">
        <v>485</v>
      </c>
      <c r="M254" t="s">
        <v>486</v>
      </c>
      <c r="O254" t="s">
        <v>488</v>
      </c>
      <c r="Q254" t="s">
        <v>553</v>
      </c>
      <c r="S254">
        <v>39768</v>
      </c>
      <c r="T254" t="s">
        <v>1003</v>
      </c>
      <c r="U254" t="s">
        <v>1004</v>
      </c>
      <c r="V254">
        <v>39.450000000000003</v>
      </c>
      <c r="W254">
        <v>1</v>
      </c>
      <c r="X254">
        <v>8779</v>
      </c>
      <c r="Z254" t="s">
        <v>491</v>
      </c>
      <c r="AA254" t="s">
        <v>491</v>
      </c>
      <c r="AB254" t="s">
        <v>491</v>
      </c>
      <c r="AC254" t="s">
        <v>491</v>
      </c>
      <c r="AD254" t="s">
        <v>492</v>
      </c>
      <c r="AE254" t="s">
        <v>492</v>
      </c>
      <c r="AF254">
        <v>2</v>
      </c>
      <c r="AG254">
        <v>2</v>
      </c>
      <c r="AH254">
        <v>0</v>
      </c>
      <c r="AI254">
        <v>0</v>
      </c>
      <c r="AJ254">
        <v>0</v>
      </c>
      <c r="AK254">
        <v>0</v>
      </c>
      <c r="AL254">
        <v>0</v>
      </c>
      <c r="AM254">
        <v>2</v>
      </c>
      <c r="AN254" t="s">
        <v>493</v>
      </c>
      <c r="AO254" t="s">
        <v>494</v>
      </c>
      <c r="AP254">
        <v>17</v>
      </c>
      <c r="AQ254" t="s">
        <v>396</v>
      </c>
      <c r="AR254" t="s">
        <v>496</v>
      </c>
      <c r="AS254">
        <v>6</v>
      </c>
      <c r="AT254" t="s">
        <v>497</v>
      </c>
      <c r="AU254" t="s">
        <v>1381</v>
      </c>
      <c r="AV254" t="s">
        <v>498</v>
      </c>
      <c r="AW254" t="s">
        <v>1382</v>
      </c>
      <c r="AX254">
        <v>44.791111809999997</v>
      </c>
      <c r="AY254">
        <v>-68.760809539999997</v>
      </c>
      <c r="AZ254">
        <v>10</v>
      </c>
      <c r="BA254" t="s">
        <v>548</v>
      </c>
      <c r="BB254" t="s">
        <v>501</v>
      </c>
      <c r="BC254">
        <v>3944111</v>
      </c>
      <c r="BD254">
        <v>4</v>
      </c>
      <c r="BE254" t="s">
        <v>502</v>
      </c>
      <c r="BF254" t="s">
        <v>503</v>
      </c>
      <c r="BG254" t="s">
        <v>504</v>
      </c>
      <c r="BH254" t="s">
        <v>505</v>
      </c>
      <c r="BI254">
        <v>246937</v>
      </c>
      <c r="BJ254">
        <v>0</v>
      </c>
    </row>
    <row r="255" spans="1:62" x14ac:dyDescent="0.35">
      <c r="A255" t="s">
        <v>1001</v>
      </c>
      <c r="B255" t="s">
        <v>1383</v>
      </c>
      <c r="C255" s="292">
        <v>45856</v>
      </c>
      <c r="D255" t="s">
        <v>479</v>
      </c>
      <c r="E255" t="s">
        <v>507</v>
      </c>
      <c r="F255" t="s">
        <v>1384</v>
      </c>
      <c r="G255">
        <v>2025</v>
      </c>
      <c r="H255" t="s">
        <v>396</v>
      </c>
      <c r="I255" t="s">
        <v>482</v>
      </c>
      <c r="J255" t="s">
        <v>510</v>
      </c>
      <c r="K255" t="s">
        <v>556</v>
      </c>
      <c r="L255" t="s">
        <v>485</v>
      </c>
      <c r="M255" t="s">
        <v>486</v>
      </c>
      <c r="O255" t="s">
        <v>511</v>
      </c>
      <c r="Q255" t="s">
        <v>488</v>
      </c>
      <c r="T255" t="s">
        <v>1003</v>
      </c>
      <c r="U255" t="s">
        <v>1004</v>
      </c>
      <c r="V255">
        <v>40.01</v>
      </c>
      <c r="W255">
        <v>1</v>
      </c>
      <c r="X255">
        <v>4809</v>
      </c>
      <c r="Y255">
        <v>25</v>
      </c>
      <c r="Z255" t="s">
        <v>491</v>
      </c>
      <c r="AA255" t="s">
        <v>491</v>
      </c>
      <c r="AC255" t="s">
        <v>491</v>
      </c>
      <c r="AD255" t="s">
        <v>492</v>
      </c>
      <c r="AE255" t="s">
        <v>492</v>
      </c>
      <c r="AF255">
        <v>2</v>
      </c>
      <c r="AG255">
        <v>2</v>
      </c>
      <c r="AH255">
        <v>0</v>
      </c>
      <c r="AI255">
        <v>0</v>
      </c>
      <c r="AJ255">
        <v>0</v>
      </c>
      <c r="AK255">
        <v>0</v>
      </c>
      <c r="AL255">
        <v>0</v>
      </c>
      <c r="AM255">
        <v>2</v>
      </c>
      <c r="AN255" t="s">
        <v>493</v>
      </c>
      <c r="AO255" t="s">
        <v>494</v>
      </c>
      <c r="AP255">
        <v>17</v>
      </c>
      <c r="AQ255" t="s">
        <v>396</v>
      </c>
      <c r="AR255" t="s">
        <v>558</v>
      </c>
      <c r="AS255">
        <v>6</v>
      </c>
      <c r="AT255" t="s">
        <v>497</v>
      </c>
      <c r="AU255" t="s">
        <v>1383</v>
      </c>
      <c r="AV255" t="s">
        <v>498</v>
      </c>
      <c r="AW255" t="s">
        <v>1385</v>
      </c>
      <c r="AX255">
        <v>44.78499952</v>
      </c>
      <c r="AY255">
        <v>-68.753244850000002</v>
      </c>
      <c r="AZ255">
        <v>7</v>
      </c>
      <c r="BA255" t="s">
        <v>500</v>
      </c>
      <c r="BB255" t="s">
        <v>501</v>
      </c>
      <c r="BC255">
        <v>3111057</v>
      </c>
      <c r="BD255">
        <v>4</v>
      </c>
      <c r="BE255" t="s">
        <v>502</v>
      </c>
      <c r="BF255" t="s">
        <v>503</v>
      </c>
      <c r="BG255" t="s">
        <v>504</v>
      </c>
      <c r="BH255" t="s">
        <v>560</v>
      </c>
      <c r="BI255">
        <v>251913</v>
      </c>
      <c r="BJ255">
        <v>0.01</v>
      </c>
    </row>
    <row r="256" spans="1:62" x14ac:dyDescent="0.35">
      <c r="A256" t="s">
        <v>1001</v>
      </c>
      <c r="B256" t="s">
        <v>1386</v>
      </c>
      <c r="C256" s="292">
        <v>44354</v>
      </c>
      <c r="D256" t="s">
        <v>479</v>
      </c>
      <c r="E256" t="s">
        <v>523</v>
      </c>
      <c r="F256" t="s">
        <v>745</v>
      </c>
      <c r="G256">
        <v>2021</v>
      </c>
      <c r="H256" t="s">
        <v>396</v>
      </c>
      <c r="I256" t="s">
        <v>482</v>
      </c>
      <c r="J256" t="s">
        <v>510</v>
      </c>
      <c r="K256" t="s">
        <v>484</v>
      </c>
      <c r="L256" t="s">
        <v>485</v>
      </c>
      <c r="M256" t="s">
        <v>486</v>
      </c>
      <c r="N256" t="s">
        <v>487</v>
      </c>
      <c r="O256" t="s">
        <v>488</v>
      </c>
      <c r="Q256" t="s">
        <v>488</v>
      </c>
      <c r="S256">
        <v>39685</v>
      </c>
      <c r="T256" t="s">
        <v>1003</v>
      </c>
      <c r="U256" t="s">
        <v>1004</v>
      </c>
      <c r="V256">
        <v>39.08</v>
      </c>
      <c r="W256">
        <v>1</v>
      </c>
      <c r="X256">
        <v>23788.5</v>
      </c>
      <c r="Z256" t="s">
        <v>491</v>
      </c>
      <c r="AA256" t="s">
        <v>491</v>
      </c>
      <c r="AB256" t="s">
        <v>491</v>
      </c>
      <c r="AC256" t="s">
        <v>491</v>
      </c>
      <c r="AD256" t="s">
        <v>492</v>
      </c>
      <c r="AE256" t="s">
        <v>492</v>
      </c>
      <c r="AF256">
        <v>2</v>
      </c>
      <c r="AG256">
        <v>2</v>
      </c>
      <c r="AH256">
        <v>0</v>
      </c>
      <c r="AI256">
        <v>0</v>
      </c>
      <c r="AJ256">
        <v>0</v>
      </c>
      <c r="AK256">
        <v>0</v>
      </c>
      <c r="AL256">
        <v>0</v>
      </c>
      <c r="AM256">
        <v>2</v>
      </c>
      <c r="AN256" t="s">
        <v>493</v>
      </c>
      <c r="AO256" t="s">
        <v>494</v>
      </c>
      <c r="AP256">
        <v>8</v>
      </c>
      <c r="AQ256" t="s">
        <v>495</v>
      </c>
      <c r="AR256" t="s">
        <v>496</v>
      </c>
      <c r="AS256">
        <v>2</v>
      </c>
      <c r="AT256" t="s">
        <v>497</v>
      </c>
      <c r="AU256" t="s">
        <v>1386</v>
      </c>
      <c r="AV256" t="s">
        <v>498</v>
      </c>
      <c r="AW256" t="s">
        <v>1387</v>
      </c>
      <c r="AX256">
        <v>44.794701119999999</v>
      </c>
      <c r="AY256">
        <v>-68.766163859999992</v>
      </c>
      <c r="AZ256">
        <v>6</v>
      </c>
      <c r="BA256" t="s">
        <v>544</v>
      </c>
      <c r="BB256" t="s">
        <v>501</v>
      </c>
      <c r="BC256">
        <v>3111001</v>
      </c>
      <c r="BD256">
        <v>4</v>
      </c>
      <c r="BE256" t="s">
        <v>502</v>
      </c>
      <c r="BF256" t="s">
        <v>503</v>
      </c>
      <c r="BG256" t="s">
        <v>504</v>
      </c>
      <c r="BH256" t="s">
        <v>505</v>
      </c>
      <c r="BI256">
        <v>252371</v>
      </c>
      <c r="BJ256">
        <v>0</v>
      </c>
    </row>
    <row r="257" spans="1:62" x14ac:dyDescent="0.35">
      <c r="A257" t="s">
        <v>1001</v>
      </c>
      <c r="B257" t="s">
        <v>1388</v>
      </c>
      <c r="C257" s="292">
        <v>44877</v>
      </c>
      <c r="D257" t="s">
        <v>479</v>
      </c>
      <c r="E257" t="s">
        <v>552</v>
      </c>
      <c r="F257" t="s">
        <v>603</v>
      </c>
      <c r="G257">
        <v>2022</v>
      </c>
      <c r="H257" t="s">
        <v>396</v>
      </c>
      <c r="I257" t="s">
        <v>482</v>
      </c>
      <c r="J257" t="s">
        <v>510</v>
      </c>
      <c r="K257" t="s">
        <v>484</v>
      </c>
      <c r="L257" t="s">
        <v>485</v>
      </c>
      <c r="M257" t="s">
        <v>486</v>
      </c>
      <c r="N257" t="s">
        <v>487</v>
      </c>
      <c r="O257" t="s">
        <v>488</v>
      </c>
      <c r="Q257" t="s">
        <v>488</v>
      </c>
      <c r="S257">
        <v>39685</v>
      </c>
      <c r="T257" t="s">
        <v>1003</v>
      </c>
      <c r="U257" t="s">
        <v>1004</v>
      </c>
      <c r="V257">
        <v>39.08</v>
      </c>
      <c r="W257">
        <v>1</v>
      </c>
      <c r="X257">
        <v>23788.5</v>
      </c>
      <c r="Z257" t="s">
        <v>491</v>
      </c>
      <c r="AA257" t="s">
        <v>491</v>
      </c>
      <c r="AC257" t="s">
        <v>491</v>
      </c>
      <c r="AD257" t="s">
        <v>492</v>
      </c>
      <c r="AE257" t="s">
        <v>492</v>
      </c>
      <c r="AF257">
        <v>2</v>
      </c>
      <c r="AG257">
        <v>2</v>
      </c>
      <c r="AH257">
        <v>0</v>
      </c>
      <c r="AI257">
        <v>0</v>
      </c>
      <c r="AJ257">
        <v>0</v>
      </c>
      <c r="AK257">
        <v>0</v>
      </c>
      <c r="AL257">
        <v>0</v>
      </c>
      <c r="AM257">
        <v>2</v>
      </c>
      <c r="AN257" t="s">
        <v>493</v>
      </c>
      <c r="AO257" t="s">
        <v>494</v>
      </c>
      <c r="AP257">
        <v>15</v>
      </c>
      <c r="AQ257" t="s">
        <v>495</v>
      </c>
      <c r="AR257" t="s">
        <v>496</v>
      </c>
      <c r="AS257">
        <v>7</v>
      </c>
      <c r="AT257" t="s">
        <v>497</v>
      </c>
      <c r="AU257" t="s">
        <v>1388</v>
      </c>
      <c r="AV257" t="s">
        <v>498</v>
      </c>
      <c r="AW257" t="s">
        <v>1389</v>
      </c>
      <c r="AX257">
        <v>44.794701119999999</v>
      </c>
      <c r="AY257">
        <v>-68.766163859999992</v>
      </c>
      <c r="AZ257">
        <v>11</v>
      </c>
      <c r="BA257" t="s">
        <v>551</v>
      </c>
      <c r="BB257" t="s">
        <v>501</v>
      </c>
      <c r="BC257">
        <v>3111001</v>
      </c>
      <c r="BD257">
        <v>4</v>
      </c>
      <c r="BE257" t="s">
        <v>502</v>
      </c>
      <c r="BF257" t="s">
        <v>503</v>
      </c>
      <c r="BG257" t="s">
        <v>504</v>
      </c>
      <c r="BH257" t="s">
        <v>505</v>
      </c>
      <c r="BI257">
        <v>252677</v>
      </c>
      <c r="BJ257">
        <v>0</v>
      </c>
    </row>
    <row r="258" spans="1:62" x14ac:dyDescent="0.35">
      <c r="A258" t="s">
        <v>1001</v>
      </c>
      <c r="B258" t="s">
        <v>1390</v>
      </c>
      <c r="C258" s="292">
        <v>43420</v>
      </c>
      <c r="D258" t="s">
        <v>479</v>
      </c>
      <c r="E258" t="s">
        <v>549</v>
      </c>
      <c r="F258" t="s">
        <v>1391</v>
      </c>
      <c r="G258">
        <v>2018</v>
      </c>
      <c r="H258" t="s">
        <v>724</v>
      </c>
      <c r="I258" t="s">
        <v>482</v>
      </c>
      <c r="J258" t="s">
        <v>510</v>
      </c>
      <c r="K258" t="s">
        <v>484</v>
      </c>
      <c r="L258" t="s">
        <v>590</v>
      </c>
      <c r="M258" t="s">
        <v>590</v>
      </c>
      <c r="N258" t="s">
        <v>487</v>
      </c>
      <c r="O258" t="s">
        <v>729</v>
      </c>
      <c r="Q258" t="s">
        <v>488</v>
      </c>
      <c r="S258">
        <v>39685</v>
      </c>
      <c r="T258" t="s">
        <v>1003</v>
      </c>
      <c r="U258" t="s">
        <v>1004</v>
      </c>
      <c r="V258">
        <v>39.08</v>
      </c>
      <c r="W258">
        <v>1</v>
      </c>
      <c r="X258">
        <v>23788.5</v>
      </c>
      <c r="Z258" t="s">
        <v>491</v>
      </c>
      <c r="AA258" t="s">
        <v>491</v>
      </c>
      <c r="AB258" t="s">
        <v>491</v>
      </c>
      <c r="AC258" t="s">
        <v>491</v>
      </c>
      <c r="AD258" t="s">
        <v>492</v>
      </c>
      <c r="AE258" t="s">
        <v>492</v>
      </c>
      <c r="AF258">
        <v>2</v>
      </c>
      <c r="AG258">
        <v>2</v>
      </c>
      <c r="AH258">
        <v>0</v>
      </c>
      <c r="AI258">
        <v>0</v>
      </c>
      <c r="AJ258">
        <v>0</v>
      </c>
      <c r="AK258">
        <v>0</v>
      </c>
      <c r="AL258">
        <v>0</v>
      </c>
      <c r="AM258">
        <v>2</v>
      </c>
      <c r="AN258" t="s">
        <v>493</v>
      </c>
      <c r="AO258" t="s">
        <v>494</v>
      </c>
      <c r="AP258">
        <v>9</v>
      </c>
      <c r="AQ258" t="s">
        <v>495</v>
      </c>
      <c r="AR258" t="s">
        <v>496</v>
      </c>
      <c r="AS258">
        <v>6</v>
      </c>
      <c r="AT258" t="s">
        <v>497</v>
      </c>
      <c r="AU258" t="s">
        <v>1390</v>
      </c>
      <c r="AV258" t="s">
        <v>498</v>
      </c>
      <c r="AW258" t="s">
        <v>1392</v>
      </c>
      <c r="AX258">
        <v>44.794701119999999</v>
      </c>
      <c r="AY258">
        <v>-68.766163859999992</v>
      </c>
      <c r="AZ258">
        <v>11</v>
      </c>
      <c r="BA258" t="s">
        <v>551</v>
      </c>
      <c r="BB258" t="s">
        <v>501</v>
      </c>
      <c r="BC258">
        <v>3111001</v>
      </c>
      <c r="BD258">
        <v>4</v>
      </c>
      <c r="BE258" t="s">
        <v>502</v>
      </c>
      <c r="BF258" t="s">
        <v>503</v>
      </c>
      <c r="BG258" t="s">
        <v>504</v>
      </c>
      <c r="BH258" t="s">
        <v>505</v>
      </c>
      <c r="BI258">
        <v>253207</v>
      </c>
      <c r="BJ258">
        <v>0</v>
      </c>
    </row>
    <row r="259" spans="1:62" x14ac:dyDescent="0.35">
      <c r="A259" t="s">
        <v>1001</v>
      </c>
      <c r="B259" t="s">
        <v>1393</v>
      </c>
      <c r="C259" s="292">
        <v>45603</v>
      </c>
      <c r="D259" t="s">
        <v>479</v>
      </c>
      <c r="E259" t="s">
        <v>801</v>
      </c>
      <c r="F259" t="s">
        <v>1394</v>
      </c>
      <c r="G259">
        <v>2024</v>
      </c>
      <c r="H259" t="s">
        <v>396</v>
      </c>
      <c r="I259" t="s">
        <v>509</v>
      </c>
      <c r="J259" t="s">
        <v>510</v>
      </c>
      <c r="K259" t="s">
        <v>484</v>
      </c>
      <c r="L259" t="s">
        <v>485</v>
      </c>
      <c r="M259" t="s">
        <v>486</v>
      </c>
      <c r="N259" t="s">
        <v>487</v>
      </c>
      <c r="O259" t="s">
        <v>511</v>
      </c>
      <c r="Q259" t="s">
        <v>488</v>
      </c>
      <c r="S259">
        <v>39685</v>
      </c>
      <c r="T259" t="s">
        <v>1003</v>
      </c>
      <c r="U259" t="s">
        <v>1004</v>
      </c>
      <c r="V259">
        <v>39.08</v>
      </c>
      <c r="W259">
        <v>1</v>
      </c>
      <c r="X259">
        <v>23788.5</v>
      </c>
      <c r="Z259" t="s">
        <v>491</v>
      </c>
      <c r="AA259" t="s">
        <v>491</v>
      </c>
      <c r="AC259" t="s">
        <v>491</v>
      </c>
      <c r="AD259" t="s">
        <v>492</v>
      </c>
      <c r="AE259" t="s">
        <v>492</v>
      </c>
      <c r="AF259">
        <v>2</v>
      </c>
      <c r="AG259">
        <v>2</v>
      </c>
      <c r="AH259">
        <v>0</v>
      </c>
      <c r="AI259">
        <v>0</v>
      </c>
      <c r="AJ259">
        <v>0</v>
      </c>
      <c r="AK259">
        <v>0</v>
      </c>
      <c r="AL259">
        <v>0</v>
      </c>
      <c r="AM259">
        <v>2</v>
      </c>
      <c r="AN259" t="s">
        <v>493</v>
      </c>
      <c r="AO259" t="s">
        <v>494</v>
      </c>
      <c r="AP259">
        <v>17</v>
      </c>
      <c r="AQ259" t="s">
        <v>495</v>
      </c>
      <c r="AR259" t="s">
        <v>496</v>
      </c>
      <c r="AS259">
        <v>5</v>
      </c>
      <c r="AT259" t="s">
        <v>497</v>
      </c>
      <c r="AU259" t="s">
        <v>1393</v>
      </c>
      <c r="AV259" t="s">
        <v>498</v>
      </c>
      <c r="AW259" t="s">
        <v>1395</v>
      </c>
      <c r="AX259">
        <v>44.794701119999999</v>
      </c>
      <c r="AY259">
        <v>-68.766163859999992</v>
      </c>
      <c r="AZ259">
        <v>11</v>
      </c>
      <c r="BA259" t="s">
        <v>551</v>
      </c>
      <c r="BB259" t="s">
        <v>501</v>
      </c>
      <c r="BC259">
        <v>3111001</v>
      </c>
      <c r="BD259">
        <v>4</v>
      </c>
      <c r="BE259" t="s">
        <v>502</v>
      </c>
      <c r="BF259" t="s">
        <v>503</v>
      </c>
      <c r="BG259" t="s">
        <v>504</v>
      </c>
      <c r="BH259" t="s">
        <v>505</v>
      </c>
      <c r="BI259">
        <v>255711</v>
      </c>
      <c r="BJ259">
        <v>0</v>
      </c>
    </row>
    <row r="260" spans="1:62" x14ac:dyDescent="0.35">
      <c r="A260" t="s">
        <v>1001</v>
      </c>
      <c r="B260" t="s">
        <v>1396</v>
      </c>
      <c r="C260" s="292">
        <v>45415</v>
      </c>
      <c r="D260" t="s">
        <v>479</v>
      </c>
      <c r="E260" t="s">
        <v>507</v>
      </c>
      <c r="F260" t="s">
        <v>1256</v>
      </c>
      <c r="G260">
        <v>2024</v>
      </c>
      <c r="H260" t="s">
        <v>396</v>
      </c>
      <c r="I260" t="s">
        <v>794</v>
      </c>
      <c r="J260" t="s">
        <v>483</v>
      </c>
      <c r="K260" t="s">
        <v>484</v>
      </c>
      <c r="L260" t="s">
        <v>485</v>
      </c>
      <c r="M260" t="s">
        <v>486</v>
      </c>
      <c r="N260" t="s">
        <v>487</v>
      </c>
      <c r="O260" t="s">
        <v>553</v>
      </c>
      <c r="Q260" t="s">
        <v>488</v>
      </c>
      <c r="S260">
        <v>39685</v>
      </c>
      <c r="T260" t="s">
        <v>1003</v>
      </c>
      <c r="U260" t="s">
        <v>1004</v>
      </c>
      <c r="V260">
        <v>39.08</v>
      </c>
      <c r="W260">
        <v>1</v>
      </c>
      <c r="X260">
        <v>23788.5</v>
      </c>
      <c r="Z260" t="s">
        <v>491</v>
      </c>
      <c r="AA260" t="s">
        <v>491</v>
      </c>
      <c r="AC260" t="s">
        <v>491</v>
      </c>
      <c r="AD260" t="s">
        <v>492</v>
      </c>
      <c r="AE260" t="s">
        <v>492</v>
      </c>
      <c r="AF260">
        <v>2</v>
      </c>
      <c r="AG260">
        <v>2</v>
      </c>
      <c r="AH260">
        <v>0</v>
      </c>
      <c r="AI260">
        <v>0</v>
      </c>
      <c r="AJ260">
        <v>0</v>
      </c>
      <c r="AK260">
        <v>0</v>
      </c>
      <c r="AL260">
        <v>0</v>
      </c>
      <c r="AM260">
        <v>2</v>
      </c>
      <c r="AN260" t="s">
        <v>493</v>
      </c>
      <c r="AO260" t="s">
        <v>494</v>
      </c>
      <c r="AP260">
        <v>4</v>
      </c>
      <c r="AQ260" t="s">
        <v>876</v>
      </c>
      <c r="AR260" t="s">
        <v>496</v>
      </c>
      <c r="AS260">
        <v>6</v>
      </c>
      <c r="AT260" t="s">
        <v>497</v>
      </c>
      <c r="AU260" t="s">
        <v>1396</v>
      </c>
      <c r="AV260" t="s">
        <v>498</v>
      </c>
      <c r="AW260" t="s">
        <v>1397</v>
      </c>
      <c r="AX260">
        <v>44.794701119999999</v>
      </c>
      <c r="AY260">
        <v>-68.766163859999992</v>
      </c>
      <c r="AZ260">
        <v>5</v>
      </c>
      <c r="BA260" t="s">
        <v>597</v>
      </c>
      <c r="BB260" t="s">
        <v>501</v>
      </c>
      <c r="BC260">
        <v>3111001</v>
      </c>
      <c r="BD260">
        <v>4</v>
      </c>
      <c r="BE260" t="s">
        <v>502</v>
      </c>
      <c r="BF260" t="s">
        <v>503</v>
      </c>
      <c r="BG260" t="s">
        <v>504</v>
      </c>
      <c r="BH260" t="s">
        <v>505</v>
      </c>
      <c r="BI260">
        <v>256218</v>
      </c>
      <c r="BJ260">
        <v>0</v>
      </c>
    </row>
    <row r="261" spans="1:62" x14ac:dyDescent="0.35">
      <c r="A261" t="s">
        <v>1001</v>
      </c>
      <c r="B261" t="s">
        <v>1398</v>
      </c>
      <c r="C261" s="292">
        <v>45310</v>
      </c>
      <c r="D261" t="s">
        <v>479</v>
      </c>
      <c r="E261" t="s">
        <v>507</v>
      </c>
      <c r="F261" t="s">
        <v>1399</v>
      </c>
      <c r="G261">
        <v>2024</v>
      </c>
      <c r="H261" t="s">
        <v>396</v>
      </c>
      <c r="I261" t="s">
        <v>532</v>
      </c>
      <c r="J261" t="s">
        <v>483</v>
      </c>
      <c r="K261" t="s">
        <v>484</v>
      </c>
      <c r="L261" t="s">
        <v>485</v>
      </c>
      <c r="M261" t="s">
        <v>486</v>
      </c>
      <c r="N261" t="s">
        <v>487</v>
      </c>
      <c r="O261" t="s">
        <v>553</v>
      </c>
      <c r="Q261" t="s">
        <v>488</v>
      </c>
      <c r="S261">
        <v>39685</v>
      </c>
      <c r="T261" t="s">
        <v>1003</v>
      </c>
      <c r="U261" t="s">
        <v>1004</v>
      </c>
      <c r="V261">
        <v>39.08</v>
      </c>
      <c r="W261">
        <v>1</v>
      </c>
      <c r="X261">
        <v>23788.5</v>
      </c>
      <c r="Z261" t="s">
        <v>491</v>
      </c>
      <c r="AA261" t="s">
        <v>491</v>
      </c>
      <c r="AC261" t="s">
        <v>491</v>
      </c>
      <c r="AD261" t="s">
        <v>492</v>
      </c>
      <c r="AE261" t="s">
        <v>492</v>
      </c>
      <c r="AF261">
        <v>2</v>
      </c>
      <c r="AG261">
        <v>4</v>
      </c>
      <c r="AH261">
        <v>1</v>
      </c>
      <c r="AI261">
        <v>0</v>
      </c>
      <c r="AJ261">
        <v>0</v>
      </c>
      <c r="AK261">
        <v>1</v>
      </c>
      <c r="AL261">
        <v>0</v>
      </c>
      <c r="AM261">
        <v>3</v>
      </c>
      <c r="AN261" t="s">
        <v>685</v>
      </c>
      <c r="AO261" t="s">
        <v>494</v>
      </c>
      <c r="AP261">
        <v>19</v>
      </c>
      <c r="AQ261" t="s">
        <v>495</v>
      </c>
      <c r="AR261" t="s">
        <v>496</v>
      </c>
      <c r="AS261">
        <v>6</v>
      </c>
      <c r="AT261" t="s">
        <v>497</v>
      </c>
      <c r="AU261" t="s">
        <v>1400</v>
      </c>
      <c r="AV261" t="s">
        <v>498</v>
      </c>
      <c r="AW261" t="s">
        <v>1401</v>
      </c>
      <c r="AX261">
        <v>44.794701119999999</v>
      </c>
      <c r="AY261">
        <v>-68.766163859999992</v>
      </c>
      <c r="AZ261">
        <v>1</v>
      </c>
      <c r="BA261" t="s">
        <v>514</v>
      </c>
      <c r="BB261" t="s">
        <v>501</v>
      </c>
      <c r="BC261">
        <v>3111001</v>
      </c>
      <c r="BD261">
        <v>4</v>
      </c>
      <c r="BE261" t="s">
        <v>502</v>
      </c>
      <c r="BF261" t="s">
        <v>503</v>
      </c>
      <c r="BG261" t="s">
        <v>504</v>
      </c>
      <c r="BH261" t="s">
        <v>505</v>
      </c>
      <c r="BI261">
        <v>256556</v>
      </c>
      <c r="BJ261">
        <v>0</v>
      </c>
    </row>
    <row r="262" spans="1:62" x14ac:dyDescent="0.35">
      <c r="A262" t="s">
        <v>1001</v>
      </c>
      <c r="B262" t="s">
        <v>1402</v>
      </c>
      <c r="C262" s="292">
        <v>45323</v>
      </c>
      <c r="D262" t="s">
        <v>479</v>
      </c>
      <c r="E262" t="s">
        <v>801</v>
      </c>
      <c r="F262" t="s">
        <v>1403</v>
      </c>
      <c r="G262">
        <v>2024</v>
      </c>
      <c r="H262" t="s">
        <v>396</v>
      </c>
      <c r="I262" t="s">
        <v>532</v>
      </c>
      <c r="J262" t="s">
        <v>483</v>
      </c>
      <c r="K262" t="s">
        <v>484</v>
      </c>
      <c r="L262" t="s">
        <v>526</v>
      </c>
      <c r="M262" t="s">
        <v>665</v>
      </c>
      <c r="N262" t="s">
        <v>487</v>
      </c>
      <c r="O262" t="s">
        <v>630</v>
      </c>
      <c r="Q262" t="s">
        <v>488</v>
      </c>
      <c r="S262">
        <v>39685</v>
      </c>
      <c r="T262" t="s">
        <v>1003</v>
      </c>
      <c r="U262" t="s">
        <v>1004</v>
      </c>
      <c r="V262">
        <v>39.08</v>
      </c>
      <c r="W262">
        <v>1</v>
      </c>
      <c r="X262">
        <v>23788.5</v>
      </c>
      <c r="Z262" t="s">
        <v>491</v>
      </c>
      <c r="AA262" t="s">
        <v>491</v>
      </c>
      <c r="AC262" t="s">
        <v>491</v>
      </c>
      <c r="AD262" t="s">
        <v>492</v>
      </c>
      <c r="AE262" t="s">
        <v>492</v>
      </c>
      <c r="AF262">
        <v>2</v>
      </c>
      <c r="AG262">
        <v>2</v>
      </c>
      <c r="AH262">
        <v>0</v>
      </c>
      <c r="AI262">
        <v>0</v>
      </c>
      <c r="AJ262">
        <v>0</v>
      </c>
      <c r="AK262">
        <v>0</v>
      </c>
      <c r="AL262">
        <v>0</v>
      </c>
      <c r="AM262">
        <v>2</v>
      </c>
      <c r="AN262" t="s">
        <v>493</v>
      </c>
      <c r="AO262" t="s">
        <v>494</v>
      </c>
      <c r="AP262">
        <v>22</v>
      </c>
      <c r="AQ262" t="s">
        <v>495</v>
      </c>
      <c r="AR262" t="s">
        <v>496</v>
      </c>
      <c r="AS262">
        <v>5</v>
      </c>
      <c r="AT262" t="s">
        <v>497</v>
      </c>
      <c r="AU262" t="s">
        <v>1404</v>
      </c>
      <c r="AV262" t="s">
        <v>498</v>
      </c>
      <c r="AW262" t="s">
        <v>1405</v>
      </c>
      <c r="AX262">
        <v>44.794701119999999</v>
      </c>
      <c r="AY262">
        <v>-68.766163859999992</v>
      </c>
      <c r="AZ262">
        <v>2</v>
      </c>
      <c r="BA262" t="s">
        <v>675</v>
      </c>
      <c r="BB262" t="s">
        <v>501</v>
      </c>
      <c r="BC262">
        <v>3111001</v>
      </c>
      <c r="BD262">
        <v>4</v>
      </c>
      <c r="BE262" t="s">
        <v>502</v>
      </c>
      <c r="BF262" t="s">
        <v>503</v>
      </c>
      <c r="BG262" t="s">
        <v>504</v>
      </c>
      <c r="BH262" t="s">
        <v>505</v>
      </c>
      <c r="BI262">
        <v>257423</v>
      </c>
      <c r="BJ262">
        <v>0</v>
      </c>
    </row>
    <row r="263" spans="1:62" x14ac:dyDescent="0.35">
      <c r="A263" t="s">
        <v>1001</v>
      </c>
      <c r="B263" t="s">
        <v>1406</v>
      </c>
      <c r="C263" s="292">
        <v>45607</v>
      </c>
      <c r="D263" t="s">
        <v>479</v>
      </c>
      <c r="E263" t="s">
        <v>536</v>
      </c>
      <c r="F263" t="s">
        <v>707</v>
      </c>
      <c r="G263">
        <v>2024</v>
      </c>
      <c r="H263" t="s">
        <v>396</v>
      </c>
      <c r="I263" t="s">
        <v>482</v>
      </c>
      <c r="J263" t="s">
        <v>510</v>
      </c>
      <c r="K263" t="s">
        <v>525</v>
      </c>
      <c r="L263" t="s">
        <v>485</v>
      </c>
      <c r="M263" t="s">
        <v>486</v>
      </c>
      <c r="N263" t="s">
        <v>487</v>
      </c>
      <c r="O263" t="s">
        <v>985</v>
      </c>
      <c r="Q263" t="s">
        <v>488</v>
      </c>
      <c r="S263">
        <v>60190</v>
      </c>
      <c r="T263" t="s">
        <v>1003</v>
      </c>
      <c r="U263" t="s">
        <v>1004</v>
      </c>
      <c r="V263">
        <v>39.9</v>
      </c>
      <c r="W263">
        <v>1</v>
      </c>
      <c r="X263">
        <v>9615</v>
      </c>
      <c r="Z263" t="s">
        <v>491</v>
      </c>
      <c r="AA263" t="s">
        <v>491</v>
      </c>
      <c r="AC263" t="s">
        <v>491</v>
      </c>
      <c r="AD263" t="s">
        <v>492</v>
      </c>
      <c r="AE263" t="s">
        <v>492</v>
      </c>
      <c r="AF263">
        <v>2</v>
      </c>
      <c r="AG263">
        <v>2</v>
      </c>
      <c r="AH263">
        <v>0</v>
      </c>
      <c r="AI263">
        <v>0</v>
      </c>
      <c r="AJ263">
        <v>0</v>
      </c>
      <c r="AK263">
        <v>0</v>
      </c>
      <c r="AL263">
        <v>0</v>
      </c>
      <c r="AM263">
        <v>2</v>
      </c>
      <c r="AN263" t="s">
        <v>493</v>
      </c>
      <c r="AO263" t="s">
        <v>494</v>
      </c>
      <c r="AP263">
        <v>10</v>
      </c>
      <c r="AQ263" t="s">
        <v>645</v>
      </c>
      <c r="AR263" t="s">
        <v>496</v>
      </c>
      <c r="AS263">
        <v>2</v>
      </c>
      <c r="AT263" t="s">
        <v>497</v>
      </c>
      <c r="AU263" t="s">
        <v>1406</v>
      </c>
      <c r="AV263" t="s">
        <v>498</v>
      </c>
      <c r="AW263" t="s">
        <v>1407</v>
      </c>
      <c r="AX263">
        <v>44.786209999999997</v>
      </c>
      <c r="AY263">
        <v>-68.7547</v>
      </c>
      <c r="AZ263">
        <v>11</v>
      </c>
      <c r="BA263" t="s">
        <v>551</v>
      </c>
      <c r="BB263" t="s">
        <v>501</v>
      </c>
      <c r="BC263">
        <v>2071517</v>
      </c>
      <c r="BD263">
        <v>4</v>
      </c>
      <c r="BE263" t="s">
        <v>502</v>
      </c>
      <c r="BF263" t="s">
        <v>503</v>
      </c>
      <c r="BG263" t="s">
        <v>504</v>
      </c>
      <c r="BH263" t="s">
        <v>505</v>
      </c>
      <c r="BI263">
        <v>257688</v>
      </c>
      <c r="BJ263">
        <v>0</v>
      </c>
    </row>
    <row r="264" spans="1:62" x14ac:dyDescent="0.35">
      <c r="A264" t="s">
        <v>1001</v>
      </c>
      <c r="B264" t="s">
        <v>1408</v>
      </c>
      <c r="C264" s="292">
        <v>44092</v>
      </c>
      <c r="D264" t="s">
        <v>479</v>
      </c>
      <c r="E264" t="s">
        <v>549</v>
      </c>
      <c r="F264" t="s">
        <v>550</v>
      </c>
      <c r="G264">
        <v>2020</v>
      </c>
      <c r="H264" t="s">
        <v>396</v>
      </c>
      <c r="I264" t="s">
        <v>482</v>
      </c>
      <c r="J264" t="s">
        <v>483</v>
      </c>
      <c r="K264" t="s">
        <v>576</v>
      </c>
      <c r="L264" t="s">
        <v>485</v>
      </c>
      <c r="M264" t="s">
        <v>486</v>
      </c>
      <c r="O264" t="s">
        <v>985</v>
      </c>
      <c r="Q264" t="s">
        <v>488</v>
      </c>
      <c r="T264" t="s">
        <v>1003</v>
      </c>
      <c r="U264" t="s">
        <v>1004</v>
      </c>
      <c r="V264">
        <v>39.32</v>
      </c>
      <c r="W264">
        <v>1</v>
      </c>
      <c r="X264">
        <v>8737</v>
      </c>
      <c r="Y264">
        <v>25</v>
      </c>
      <c r="Z264" t="s">
        <v>491</v>
      </c>
      <c r="AA264" t="s">
        <v>491</v>
      </c>
      <c r="AB264" t="s">
        <v>491</v>
      </c>
      <c r="AC264" t="s">
        <v>491</v>
      </c>
      <c r="AD264" t="s">
        <v>492</v>
      </c>
      <c r="AE264" t="s">
        <v>492</v>
      </c>
      <c r="AF264">
        <v>2</v>
      </c>
      <c r="AG264">
        <v>3</v>
      </c>
      <c r="AH264">
        <v>0</v>
      </c>
      <c r="AI264">
        <v>0</v>
      </c>
      <c r="AJ264">
        <v>0</v>
      </c>
      <c r="AK264">
        <v>0</v>
      </c>
      <c r="AL264">
        <v>0</v>
      </c>
      <c r="AM264">
        <v>3</v>
      </c>
      <c r="AN264" t="s">
        <v>493</v>
      </c>
      <c r="AO264" t="s">
        <v>494</v>
      </c>
      <c r="AP264">
        <v>14</v>
      </c>
      <c r="AQ264" t="s">
        <v>396</v>
      </c>
      <c r="AR264" t="s">
        <v>558</v>
      </c>
      <c r="AS264">
        <v>6</v>
      </c>
      <c r="AT264" t="s">
        <v>497</v>
      </c>
      <c r="AU264" t="s">
        <v>1408</v>
      </c>
      <c r="AV264" t="s">
        <v>498</v>
      </c>
      <c r="AW264" t="s">
        <v>1409</v>
      </c>
      <c r="AX264">
        <v>44.792607709999999</v>
      </c>
      <c r="AY264">
        <v>-68.762525350000004</v>
      </c>
      <c r="AZ264">
        <v>9</v>
      </c>
      <c r="BA264" t="s">
        <v>601</v>
      </c>
      <c r="BB264" t="s">
        <v>501</v>
      </c>
      <c r="BC264">
        <v>3944111</v>
      </c>
      <c r="BD264">
        <v>4</v>
      </c>
      <c r="BE264" t="s">
        <v>502</v>
      </c>
      <c r="BF264" t="s">
        <v>503</v>
      </c>
      <c r="BG264" t="s">
        <v>504</v>
      </c>
      <c r="BH264" t="s">
        <v>560</v>
      </c>
      <c r="BI264">
        <v>262713</v>
      </c>
      <c r="BJ264">
        <v>0.13</v>
      </c>
    </row>
    <row r="265" spans="1:62" x14ac:dyDescent="0.35">
      <c r="A265" t="s">
        <v>1001</v>
      </c>
      <c r="B265" t="s">
        <v>1410</v>
      </c>
      <c r="C265" s="292">
        <v>45637</v>
      </c>
      <c r="D265" t="s">
        <v>479</v>
      </c>
      <c r="E265" t="s">
        <v>574</v>
      </c>
      <c r="F265" t="s">
        <v>1411</v>
      </c>
      <c r="G265">
        <v>2024</v>
      </c>
      <c r="H265" t="s">
        <v>396</v>
      </c>
      <c r="I265" t="s">
        <v>532</v>
      </c>
      <c r="J265" t="s">
        <v>483</v>
      </c>
      <c r="K265" t="s">
        <v>525</v>
      </c>
      <c r="L265" t="s">
        <v>526</v>
      </c>
      <c r="M265" t="s">
        <v>665</v>
      </c>
      <c r="N265" t="s">
        <v>487</v>
      </c>
      <c r="O265" t="s">
        <v>553</v>
      </c>
      <c r="Q265" t="s">
        <v>488</v>
      </c>
      <c r="S265">
        <v>60190</v>
      </c>
      <c r="T265" t="s">
        <v>1003</v>
      </c>
      <c r="U265" t="s">
        <v>1004</v>
      </c>
      <c r="V265">
        <v>39.9</v>
      </c>
      <c r="W265">
        <v>1</v>
      </c>
      <c r="X265">
        <v>9615</v>
      </c>
      <c r="Z265" t="s">
        <v>491</v>
      </c>
      <c r="AA265" t="s">
        <v>491</v>
      </c>
      <c r="AC265" t="s">
        <v>491</v>
      </c>
      <c r="AD265" t="s">
        <v>492</v>
      </c>
      <c r="AE265" t="s">
        <v>492</v>
      </c>
      <c r="AF265">
        <v>2</v>
      </c>
      <c r="AG265">
        <v>2</v>
      </c>
      <c r="AH265">
        <v>0</v>
      </c>
      <c r="AI265">
        <v>0</v>
      </c>
      <c r="AJ265">
        <v>0</v>
      </c>
      <c r="AK265">
        <v>0</v>
      </c>
      <c r="AL265">
        <v>0</v>
      </c>
      <c r="AM265">
        <v>2</v>
      </c>
      <c r="AN265" t="s">
        <v>493</v>
      </c>
      <c r="AO265" t="s">
        <v>494</v>
      </c>
      <c r="AP265">
        <v>17</v>
      </c>
      <c r="AQ265" t="s">
        <v>795</v>
      </c>
      <c r="AR265" t="s">
        <v>496</v>
      </c>
      <c r="AS265">
        <v>4</v>
      </c>
      <c r="AT265" t="s">
        <v>497</v>
      </c>
      <c r="AU265" t="s">
        <v>1410</v>
      </c>
      <c r="AV265" t="s">
        <v>498</v>
      </c>
      <c r="AW265" t="s">
        <v>1412</v>
      </c>
      <c r="AX265">
        <v>44.786212310000003</v>
      </c>
      <c r="AY265">
        <v>-68.754702559999998</v>
      </c>
      <c r="AZ265">
        <v>12</v>
      </c>
      <c r="BA265" t="s">
        <v>534</v>
      </c>
      <c r="BB265" t="s">
        <v>501</v>
      </c>
      <c r="BC265">
        <v>2071517</v>
      </c>
      <c r="BD265">
        <v>4</v>
      </c>
      <c r="BE265" t="s">
        <v>502</v>
      </c>
      <c r="BF265" t="s">
        <v>503</v>
      </c>
      <c r="BG265" t="s">
        <v>504</v>
      </c>
      <c r="BH265" t="s">
        <v>505</v>
      </c>
      <c r="BI265">
        <v>264622</v>
      </c>
      <c r="BJ265">
        <v>0</v>
      </c>
    </row>
    <row r="266" spans="1:62" x14ac:dyDescent="0.35">
      <c r="A266" t="s">
        <v>1001</v>
      </c>
      <c r="B266" t="s">
        <v>1413</v>
      </c>
      <c r="C266" s="292">
        <v>45532</v>
      </c>
      <c r="D266" t="s">
        <v>479</v>
      </c>
      <c r="E266" t="s">
        <v>574</v>
      </c>
      <c r="F266" t="s">
        <v>1414</v>
      </c>
      <c r="G266">
        <v>2024</v>
      </c>
      <c r="H266" t="s">
        <v>396</v>
      </c>
      <c r="I266" t="s">
        <v>482</v>
      </c>
      <c r="J266" t="s">
        <v>510</v>
      </c>
      <c r="K266" t="s">
        <v>484</v>
      </c>
      <c r="L266" t="s">
        <v>485</v>
      </c>
      <c r="M266" t="s">
        <v>486</v>
      </c>
      <c r="N266" t="s">
        <v>487</v>
      </c>
      <c r="O266" t="s">
        <v>488</v>
      </c>
      <c r="Q266" t="s">
        <v>488</v>
      </c>
      <c r="S266">
        <v>39685</v>
      </c>
      <c r="T266" t="s">
        <v>1003</v>
      </c>
      <c r="U266" t="s">
        <v>1004</v>
      </c>
      <c r="V266">
        <v>39.08</v>
      </c>
      <c r="W266">
        <v>1</v>
      </c>
      <c r="X266">
        <v>23788.5</v>
      </c>
      <c r="Z266" t="s">
        <v>491</v>
      </c>
      <c r="AA266" t="s">
        <v>491</v>
      </c>
      <c r="AC266" t="s">
        <v>491</v>
      </c>
      <c r="AD266" t="s">
        <v>492</v>
      </c>
      <c r="AE266" t="s">
        <v>492</v>
      </c>
      <c r="AF266">
        <v>2</v>
      </c>
      <c r="AG266">
        <v>2</v>
      </c>
      <c r="AH266">
        <v>0</v>
      </c>
      <c r="AI266">
        <v>0</v>
      </c>
      <c r="AJ266">
        <v>0</v>
      </c>
      <c r="AK266">
        <v>0</v>
      </c>
      <c r="AL266">
        <v>0</v>
      </c>
      <c r="AM266">
        <v>2</v>
      </c>
      <c r="AN266" t="s">
        <v>493</v>
      </c>
      <c r="AO266" t="s">
        <v>494</v>
      </c>
      <c r="AP266">
        <v>15</v>
      </c>
      <c r="AQ266" t="s">
        <v>495</v>
      </c>
      <c r="AR266" t="s">
        <v>496</v>
      </c>
      <c r="AS266">
        <v>4</v>
      </c>
      <c r="AT266" t="s">
        <v>497</v>
      </c>
      <c r="AU266" t="s">
        <v>1413</v>
      </c>
      <c r="AV266" t="s">
        <v>498</v>
      </c>
      <c r="AW266" t="s">
        <v>1415</v>
      </c>
      <c r="AX266">
        <v>44.794699999999999</v>
      </c>
      <c r="AY266">
        <v>-68.766159999999999</v>
      </c>
      <c r="AZ266">
        <v>8</v>
      </c>
      <c r="BA266" t="s">
        <v>667</v>
      </c>
      <c r="BB266" t="s">
        <v>501</v>
      </c>
      <c r="BC266">
        <v>3111001</v>
      </c>
      <c r="BD266">
        <v>4</v>
      </c>
      <c r="BE266" t="s">
        <v>502</v>
      </c>
      <c r="BF266" t="s">
        <v>503</v>
      </c>
      <c r="BG266" t="s">
        <v>504</v>
      </c>
      <c r="BH266" t="s">
        <v>505</v>
      </c>
      <c r="BI266">
        <v>266669</v>
      </c>
      <c r="BJ266">
        <v>0</v>
      </c>
    </row>
    <row r="267" spans="1:62" x14ac:dyDescent="0.35">
      <c r="A267" t="s">
        <v>1001</v>
      </c>
      <c r="B267" t="s">
        <v>1416</v>
      </c>
      <c r="C267" s="292">
        <v>43958</v>
      </c>
      <c r="D267" t="s">
        <v>479</v>
      </c>
      <c r="E267" t="s">
        <v>516</v>
      </c>
      <c r="F267" t="s">
        <v>640</v>
      </c>
      <c r="G267">
        <v>2020</v>
      </c>
      <c r="H267" t="s">
        <v>396</v>
      </c>
      <c r="I267" t="s">
        <v>482</v>
      </c>
      <c r="J267" t="s">
        <v>483</v>
      </c>
      <c r="K267" t="s">
        <v>484</v>
      </c>
      <c r="L267" t="s">
        <v>485</v>
      </c>
      <c r="M267" t="s">
        <v>486</v>
      </c>
      <c r="N267" t="s">
        <v>487</v>
      </c>
      <c r="O267" t="s">
        <v>518</v>
      </c>
      <c r="P267" t="s">
        <v>496</v>
      </c>
      <c r="Q267" t="s">
        <v>488</v>
      </c>
      <c r="S267">
        <v>39685</v>
      </c>
      <c r="T267" t="s">
        <v>1003</v>
      </c>
      <c r="U267" t="s">
        <v>1004</v>
      </c>
      <c r="V267">
        <v>39.08</v>
      </c>
      <c r="W267">
        <v>1</v>
      </c>
      <c r="X267">
        <v>23788.5</v>
      </c>
      <c r="Z267" t="s">
        <v>491</v>
      </c>
      <c r="AA267" t="s">
        <v>491</v>
      </c>
      <c r="AB267" t="s">
        <v>491</v>
      </c>
      <c r="AC267" t="s">
        <v>491</v>
      </c>
      <c r="AD267" t="s">
        <v>492</v>
      </c>
      <c r="AE267" t="s">
        <v>492</v>
      </c>
      <c r="AF267">
        <v>2</v>
      </c>
      <c r="AG267">
        <v>4</v>
      </c>
      <c r="AH267">
        <v>0</v>
      </c>
      <c r="AI267">
        <v>0</v>
      </c>
      <c r="AJ267">
        <v>0</v>
      </c>
      <c r="AK267">
        <v>0</v>
      </c>
      <c r="AL267">
        <v>0</v>
      </c>
      <c r="AM267">
        <v>4</v>
      </c>
      <c r="AN267" t="s">
        <v>493</v>
      </c>
      <c r="AO267" t="s">
        <v>494</v>
      </c>
      <c r="AP267">
        <v>16</v>
      </c>
      <c r="AQ267" t="s">
        <v>495</v>
      </c>
      <c r="AR267" t="s">
        <v>496</v>
      </c>
      <c r="AS267">
        <v>5</v>
      </c>
      <c r="AT267" t="s">
        <v>497</v>
      </c>
      <c r="AU267" t="s">
        <v>1416</v>
      </c>
      <c r="AV267" t="s">
        <v>498</v>
      </c>
      <c r="AW267" t="s">
        <v>1417</v>
      </c>
      <c r="AX267">
        <v>44.794701119999999</v>
      </c>
      <c r="AY267">
        <v>-68.766163859999992</v>
      </c>
      <c r="AZ267">
        <v>5</v>
      </c>
      <c r="BA267" t="s">
        <v>597</v>
      </c>
      <c r="BB267" t="s">
        <v>501</v>
      </c>
      <c r="BC267">
        <v>3111001</v>
      </c>
      <c r="BD267">
        <v>4</v>
      </c>
      <c r="BE267" t="s">
        <v>502</v>
      </c>
      <c r="BF267" t="s">
        <v>503</v>
      </c>
      <c r="BG267" t="s">
        <v>504</v>
      </c>
      <c r="BH267" t="s">
        <v>505</v>
      </c>
      <c r="BI267">
        <v>269074</v>
      </c>
      <c r="BJ267">
        <v>0</v>
      </c>
    </row>
    <row r="268" spans="1:62" x14ac:dyDescent="0.35">
      <c r="A268" t="s">
        <v>1001</v>
      </c>
      <c r="B268" t="s">
        <v>1418</v>
      </c>
      <c r="C268" s="292">
        <v>44548</v>
      </c>
      <c r="D268" t="s">
        <v>479</v>
      </c>
      <c r="E268" t="s">
        <v>552</v>
      </c>
      <c r="F268" t="s">
        <v>1419</v>
      </c>
      <c r="G268">
        <v>2021</v>
      </c>
      <c r="H268" t="s">
        <v>396</v>
      </c>
      <c r="I268" t="s">
        <v>532</v>
      </c>
      <c r="J268" t="s">
        <v>629</v>
      </c>
      <c r="K268" t="s">
        <v>556</v>
      </c>
      <c r="L268" t="s">
        <v>485</v>
      </c>
      <c r="M268" t="s">
        <v>486</v>
      </c>
      <c r="N268" t="s">
        <v>487</v>
      </c>
      <c r="O268" t="s">
        <v>518</v>
      </c>
      <c r="P268" t="s">
        <v>609</v>
      </c>
      <c r="T268" t="s">
        <v>1007</v>
      </c>
      <c r="U268" t="s">
        <v>1008</v>
      </c>
      <c r="V268">
        <v>0.71000000000000008</v>
      </c>
      <c r="W268">
        <v>2</v>
      </c>
      <c r="X268">
        <v>12893</v>
      </c>
      <c r="Y268">
        <v>25</v>
      </c>
      <c r="Z268" t="s">
        <v>491</v>
      </c>
      <c r="AA268" t="s">
        <v>491</v>
      </c>
      <c r="AB268" t="s">
        <v>491</v>
      </c>
      <c r="AC268" t="s">
        <v>491</v>
      </c>
      <c r="AD268" t="s">
        <v>492</v>
      </c>
      <c r="AE268" t="s">
        <v>492</v>
      </c>
      <c r="AF268">
        <v>1</v>
      </c>
      <c r="AG268">
        <v>2</v>
      </c>
      <c r="AH268">
        <v>1</v>
      </c>
      <c r="AI268">
        <v>0</v>
      </c>
      <c r="AJ268">
        <v>0</v>
      </c>
      <c r="AK268">
        <v>0</v>
      </c>
      <c r="AL268">
        <v>1</v>
      </c>
      <c r="AM268">
        <v>1</v>
      </c>
      <c r="AN268" t="s">
        <v>519</v>
      </c>
      <c r="AO268" t="s">
        <v>494</v>
      </c>
      <c r="AP268">
        <v>1</v>
      </c>
      <c r="AQ268" t="s">
        <v>876</v>
      </c>
      <c r="AR268" t="s">
        <v>672</v>
      </c>
      <c r="AS268">
        <v>7</v>
      </c>
      <c r="AT268" t="s">
        <v>497</v>
      </c>
      <c r="AU268" t="s">
        <v>1418</v>
      </c>
      <c r="AV268" t="s">
        <v>498</v>
      </c>
      <c r="AW268" t="s">
        <v>1420</v>
      </c>
      <c r="AX268">
        <v>44.794580830000001</v>
      </c>
      <c r="AY268">
        <v>-68.766262389999994</v>
      </c>
      <c r="AZ268">
        <v>12</v>
      </c>
      <c r="BA268" t="s">
        <v>534</v>
      </c>
      <c r="BB268" t="s">
        <v>501</v>
      </c>
      <c r="BC268">
        <v>3111000</v>
      </c>
      <c r="BD268">
        <v>4</v>
      </c>
      <c r="BE268" t="s">
        <v>502</v>
      </c>
      <c r="BF268" t="s">
        <v>503</v>
      </c>
      <c r="BG268" t="s">
        <v>504</v>
      </c>
      <c r="BH268" t="s">
        <v>560</v>
      </c>
      <c r="BI268">
        <v>270094</v>
      </c>
      <c r="BJ268">
        <v>7.0000000000000007E-2</v>
      </c>
    </row>
    <row r="269" spans="1:62" x14ac:dyDescent="0.35">
      <c r="A269" t="s">
        <v>1001</v>
      </c>
      <c r="B269" t="s">
        <v>1421</v>
      </c>
      <c r="C269" s="292">
        <v>44539</v>
      </c>
      <c r="D269" t="s">
        <v>479</v>
      </c>
      <c r="E269" t="s">
        <v>516</v>
      </c>
      <c r="F269" t="s">
        <v>1422</v>
      </c>
      <c r="G269">
        <v>2021</v>
      </c>
      <c r="H269" t="s">
        <v>396</v>
      </c>
      <c r="I269" t="s">
        <v>482</v>
      </c>
      <c r="J269" t="s">
        <v>510</v>
      </c>
      <c r="K269" t="s">
        <v>484</v>
      </c>
      <c r="L269" t="s">
        <v>526</v>
      </c>
      <c r="M269" t="s">
        <v>486</v>
      </c>
      <c r="N269" t="s">
        <v>487</v>
      </c>
      <c r="O269" t="s">
        <v>564</v>
      </c>
      <c r="Q269" t="s">
        <v>488</v>
      </c>
      <c r="S269">
        <v>39685</v>
      </c>
      <c r="T269" t="s">
        <v>1003</v>
      </c>
      <c r="U269" t="s">
        <v>1004</v>
      </c>
      <c r="V269">
        <v>39.08</v>
      </c>
      <c r="W269">
        <v>1</v>
      </c>
      <c r="X269">
        <v>23788.5</v>
      </c>
      <c r="Z269" t="s">
        <v>491</v>
      </c>
      <c r="AA269" t="s">
        <v>491</v>
      </c>
      <c r="AB269" t="s">
        <v>491</v>
      </c>
      <c r="AC269" t="s">
        <v>491</v>
      </c>
      <c r="AD269" t="s">
        <v>492</v>
      </c>
      <c r="AE269" t="s">
        <v>492</v>
      </c>
      <c r="AF269">
        <v>2</v>
      </c>
      <c r="AG269">
        <v>3</v>
      </c>
      <c r="AH269">
        <v>0</v>
      </c>
      <c r="AI269">
        <v>0</v>
      </c>
      <c r="AJ269">
        <v>0</v>
      </c>
      <c r="AK269">
        <v>0</v>
      </c>
      <c r="AL269">
        <v>0</v>
      </c>
      <c r="AM269">
        <v>3</v>
      </c>
      <c r="AN269" t="s">
        <v>493</v>
      </c>
      <c r="AO269" t="s">
        <v>494</v>
      </c>
      <c r="AP269">
        <v>14</v>
      </c>
      <c r="AQ269" t="s">
        <v>495</v>
      </c>
      <c r="AR269" t="s">
        <v>496</v>
      </c>
      <c r="AS269">
        <v>5</v>
      </c>
      <c r="AT269" t="s">
        <v>497</v>
      </c>
      <c r="AU269" t="s">
        <v>1421</v>
      </c>
      <c r="AV269" t="s">
        <v>498</v>
      </c>
      <c r="AW269" t="s">
        <v>1423</v>
      </c>
      <c r="AX269">
        <v>44.794701119999999</v>
      </c>
      <c r="AY269">
        <v>-68.766163859999992</v>
      </c>
      <c r="AZ269">
        <v>12</v>
      </c>
      <c r="BA269" t="s">
        <v>534</v>
      </c>
      <c r="BB269" t="s">
        <v>501</v>
      </c>
      <c r="BC269">
        <v>3111001</v>
      </c>
      <c r="BD269">
        <v>4</v>
      </c>
      <c r="BE269" t="s">
        <v>502</v>
      </c>
      <c r="BF269" t="s">
        <v>503</v>
      </c>
      <c r="BG269" t="s">
        <v>504</v>
      </c>
      <c r="BH269" t="s">
        <v>505</v>
      </c>
      <c r="BI269">
        <v>277469</v>
      </c>
      <c r="BJ269">
        <v>0</v>
      </c>
    </row>
    <row r="270" spans="1:62" x14ac:dyDescent="0.35">
      <c r="A270" t="s">
        <v>1001</v>
      </c>
      <c r="B270" t="s">
        <v>1424</v>
      </c>
      <c r="C270" s="292">
        <v>44538</v>
      </c>
      <c r="D270" t="s">
        <v>479</v>
      </c>
      <c r="E270" t="s">
        <v>574</v>
      </c>
      <c r="F270" t="s">
        <v>1425</v>
      </c>
      <c r="G270">
        <v>2021</v>
      </c>
      <c r="H270" t="s">
        <v>724</v>
      </c>
      <c r="I270" t="s">
        <v>509</v>
      </c>
      <c r="J270" t="s">
        <v>510</v>
      </c>
      <c r="K270" t="s">
        <v>484</v>
      </c>
      <c r="L270" t="s">
        <v>590</v>
      </c>
      <c r="M270" t="s">
        <v>590</v>
      </c>
      <c r="N270" t="s">
        <v>487</v>
      </c>
      <c r="O270" t="s">
        <v>488</v>
      </c>
      <c r="Q270" t="s">
        <v>488</v>
      </c>
      <c r="S270">
        <v>39685</v>
      </c>
      <c r="T270" t="s">
        <v>1003</v>
      </c>
      <c r="U270" t="s">
        <v>1004</v>
      </c>
      <c r="V270">
        <v>39.08</v>
      </c>
      <c r="W270">
        <v>1</v>
      </c>
      <c r="X270">
        <v>23788.5</v>
      </c>
      <c r="Z270" t="s">
        <v>491</v>
      </c>
      <c r="AA270" t="s">
        <v>491</v>
      </c>
      <c r="AB270" t="s">
        <v>491</v>
      </c>
      <c r="AC270" t="s">
        <v>491</v>
      </c>
      <c r="AD270" t="s">
        <v>492</v>
      </c>
      <c r="AE270" t="s">
        <v>492</v>
      </c>
      <c r="AF270">
        <v>2</v>
      </c>
      <c r="AG270">
        <v>3</v>
      </c>
      <c r="AH270">
        <v>0</v>
      </c>
      <c r="AI270">
        <v>0</v>
      </c>
      <c r="AJ270">
        <v>0</v>
      </c>
      <c r="AK270">
        <v>0</v>
      </c>
      <c r="AL270">
        <v>0</v>
      </c>
      <c r="AM270">
        <v>3</v>
      </c>
      <c r="AN270" t="s">
        <v>493</v>
      </c>
      <c r="AO270" t="s">
        <v>494</v>
      </c>
      <c r="AP270">
        <v>16</v>
      </c>
      <c r="AQ270" t="s">
        <v>495</v>
      </c>
      <c r="AR270" t="s">
        <v>496</v>
      </c>
      <c r="AS270">
        <v>4</v>
      </c>
      <c r="AT270" t="s">
        <v>497</v>
      </c>
      <c r="AU270" t="s">
        <v>1424</v>
      </c>
      <c r="AV270" t="s">
        <v>498</v>
      </c>
      <c r="AW270" t="s">
        <v>1426</v>
      </c>
      <c r="AX270">
        <v>44.794701119999999</v>
      </c>
      <c r="AY270">
        <v>-68.766163859999992</v>
      </c>
      <c r="AZ270">
        <v>12</v>
      </c>
      <c r="BA270" t="s">
        <v>534</v>
      </c>
      <c r="BB270" t="s">
        <v>501</v>
      </c>
      <c r="BC270">
        <v>3111001</v>
      </c>
      <c r="BD270">
        <v>4</v>
      </c>
      <c r="BE270" t="s">
        <v>502</v>
      </c>
      <c r="BF270" t="s">
        <v>503</v>
      </c>
      <c r="BG270" t="s">
        <v>504</v>
      </c>
      <c r="BH270" t="s">
        <v>505</v>
      </c>
      <c r="BI270">
        <v>277554</v>
      </c>
      <c r="BJ270">
        <v>0</v>
      </c>
    </row>
    <row r="271" spans="1:62" x14ac:dyDescent="0.35">
      <c r="A271" t="s">
        <v>1001</v>
      </c>
      <c r="B271" t="s">
        <v>1427</v>
      </c>
      <c r="C271" s="292">
        <v>44061</v>
      </c>
      <c r="D271" t="s">
        <v>479</v>
      </c>
      <c r="E271" t="s">
        <v>541</v>
      </c>
      <c r="F271" t="s">
        <v>1428</v>
      </c>
      <c r="G271">
        <v>2020</v>
      </c>
      <c r="H271" t="s">
        <v>396</v>
      </c>
      <c r="I271" t="s">
        <v>509</v>
      </c>
      <c r="J271" t="s">
        <v>483</v>
      </c>
      <c r="K271" t="s">
        <v>484</v>
      </c>
      <c r="L271" t="s">
        <v>485</v>
      </c>
      <c r="M271" t="s">
        <v>486</v>
      </c>
      <c r="N271" t="s">
        <v>487</v>
      </c>
      <c r="O271" t="s">
        <v>553</v>
      </c>
      <c r="Q271" t="s">
        <v>488</v>
      </c>
      <c r="S271">
        <v>39685</v>
      </c>
      <c r="T271" t="s">
        <v>1003</v>
      </c>
      <c r="U271" t="s">
        <v>1004</v>
      </c>
      <c r="V271">
        <v>39.08</v>
      </c>
      <c r="W271">
        <v>1</v>
      </c>
      <c r="X271">
        <v>23788.5</v>
      </c>
      <c r="Z271" t="s">
        <v>491</v>
      </c>
      <c r="AA271" t="s">
        <v>491</v>
      </c>
      <c r="AB271" t="s">
        <v>491</v>
      </c>
      <c r="AC271" t="s">
        <v>491</v>
      </c>
      <c r="AD271" t="s">
        <v>492</v>
      </c>
      <c r="AE271" t="s">
        <v>492</v>
      </c>
      <c r="AF271">
        <v>2</v>
      </c>
      <c r="AG271">
        <v>3</v>
      </c>
      <c r="AH271">
        <v>0</v>
      </c>
      <c r="AI271">
        <v>0</v>
      </c>
      <c r="AJ271">
        <v>0</v>
      </c>
      <c r="AK271">
        <v>0</v>
      </c>
      <c r="AL271">
        <v>0</v>
      </c>
      <c r="AM271">
        <v>3</v>
      </c>
      <c r="AN271" t="s">
        <v>493</v>
      </c>
      <c r="AO271" t="s">
        <v>494</v>
      </c>
      <c r="AP271">
        <v>20</v>
      </c>
      <c r="AQ271" t="s">
        <v>495</v>
      </c>
      <c r="AR271" t="s">
        <v>496</v>
      </c>
      <c r="AS271">
        <v>3</v>
      </c>
      <c r="AT271" t="s">
        <v>497</v>
      </c>
      <c r="AU271" t="s">
        <v>1427</v>
      </c>
      <c r="AV271" t="s">
        <v>498</v>
      </c>
      <c r="AW271" t="s">
        <v>1429</v>
      </c>
      <c r="AX271">
        <v>44.794701119999999</v>
      </c>
      <c r="AY271">
        <v>-68.766163859999992</v>
      </c>
      <c r="AZ271">
        <v>8</v>
      </c>
      <c r="BA271" t="s">
        <v>667</v>
      </c>
      <c r="BB271" t="s">
        <v>501</v>
      </c>
      <c r="BC271">
        <v>3111001</v>
      </c>
      <c r="BD271">
        <v>4</v>
      </c>
      <c r="BE271" t="s">
        <v>502</v>
      </c>
      <c r="BF271" t="s">
        <v>503</v>
      </c>
      <c r="BG271" t="s">
        <v>504</v>
      </c>
      <c r="BH271" t="s">
        <v>505</v>
      </c>
      <c r="BI271">
        <v>279138</v>
      </c>
      <c r="BJ271">
        <v>0</v>
      </c>
    </row>
    <row r="272" spans="1:62" x14ac:dyDescent="0.35">
      <c r="A272" t="s">
        <v>1001</v>
      </c>
      <c r="B272" t="s">
        <v>1430</v>
      </c>
      <c r="C272" s="292">
        <v>45244</v>
      </c>
      <c r="D272" t="s">
        <v>479</v>
      </c>
      <c r="E272" t="s">
        <v>480</v>
      </c>
      <c r="F272" t="s">
        <v>1431</v>
      </c>
      <c r="G272">
        <v>2023</v>
      </c>
      <c r="H272" t="s">
        <v>396</v>
      </c>
      <c r="I272" t="s">
        <v>482</v>
      </c>
      <c r="J272" t="s">
        <v>510</v>
      </c>
      <c r="K272" t="s">
        <v>525</v>
      </c>
      <c r="L272" t="s">
        <v>485</v>
      </c>
      <c r="M272" t="s">
        <v>486</v>
      </c>
      <c r="O272" t="s">
        <v>511</v>
      </c>
      <c r="Q272" t="s">
        <v>488</v>
      </c>
      <c r="S272">
        <v>39772</v>
      </c>
      <c r="T272" t="s">
        <v>1003</v>
      </c>
      <c r="U272" t="s">
        <v>1004</v>
      </c>
      <c r="V272">
        <v>39.229999999999997</v>
      </c>
      <c r="W272">
        <v>1</v>
      </c>
      <c r="X272">
        <v>8605.5</v>
      </c>
      <c r="Z272" t="s">
        <v>491</v>
      </c>
      <c r="AA272" t="s">
        <v>491</v>
      </c>
      <c r="AC272" t="s">
        <v>491</v>
      </c>
      <c r="AD272" t="s">
        <v>492</v>
      </c>
      <c r="AE272" t="s">
        <v>492</v>
      </c>
      <c r="AF272">
        <v>2</v>
      </c>
      <c r="AG272">
        <v>3</v>
      </c>
      <c r="AH272">
        <v>0</v>
      </c>
      <c r="AI272">
        <v>0</v>
      </c>
      <c r="AJ272">
        <v>0</v>
      </c>
      <c r="AK272">
        <v>0</v>
      </c>
      <c r="AL272">
        <v>0</v>
      </c>
      <c r="AM272">
        <v>3</v>
      </c>
      <c r="AN272" t="s">
        <v>493</v>
      </c>
      <c r="AO272" t="s">
        <v>494</v>
      </c>
      <c r="AP272">
        <v>15</v>
      </c>
      <c r="AQ272" t="s">
        <v>396</v>
      </c>
      <c r="AR272" t="s">
        <v>496</v>
      </c>
      <c r="AS272">
        <v>3</v>
      </c>
      <c r="AT272" t="s">
        <v>497</v>
      </c>
      <c r="AU272" t="s">
        <v>1430</v>
      </c>
      <c r="AV272" t="s">
        <v>498</v>
      </c>
      <c r="AW272" t="s">
        <v>1432</v>
      </c>
      <c r="AX272">
        <v>44.79353708</v>
      </c>
      <c r="AY272">
        <v>-68.763670699999992</v>
      </c>
      <c r="AZ272">
        <v>11</v>
      </c>
      <c r="BA272" t="s">
        <v>551</v>
      </c>
      <c r="BB272" t="s">
        <v>501</v>
      </c>
      <c r="BC272">
        <v>220183</v>
      </c>
      <c r="BD272">
        <v>4</v>
      </c>
      <c r="BE272" t="s">
        <v>502</v>
      </c>
      <c r="BF272" t="s">
        <v>503</v>
      </c>
      <c r="BG272" t="s">
        <v>504</v>
      </c>
      <c r="BH272" t="s">
        <v>505</v>
      </c>
      <c r="BI272">
        <v>284143</v>
      </c>
      <c r="BJ272">
        <v>0.03</v>
      </c>
    </row>
    <row r="273" spans="1:62" x14ac:dyDescent="0.35">
      <c r="A273" t="s">
        <v>1001</v>
      </c>
      <c r="B273" t="s">
        <v>1433</v>
      </c>
      <c r="C273" s="292">
        <v>45603</v>
      </c>
      <c r="D273" t="s">
        <v>479</v>
      </c>
      <c r="E273" t="s">
        <v>801</v>
      </c>
      <c r="F273" t="s">
        <v>1085</v>
      </c>
      <c r="G273">
        <v>2024</v>
      </c>
      <c r="H273" t="s">
        <v>396</v>
      </c>
      <c r="I273" t="s">
        <v>482</v>
      </c>
      <c r="J273" t="s">
        <v>510</v>
      </c>
      <c r="K273" t="s">
        <v>484</v>
      </c>
      <c r="L273" t="s">
        <v>485</v>
      </c>
      <c r="M273" t="s">
        <v>563</v>
      </c>
      <c r="N273" t="s">
        <v>487</v>
      </c>
      <c r="O273" t="s">
        <v>511</v>
      </c>
      <c r="Q273" t="s">
        <v>488</v>
      </c>
      <c r="S273">
        <v>39685</v>
      </c>
      <c r="T273" t="s">
        <v>1003</v>
      </c>
      <c r="U273" t="s">
        <v>1004</v>
      </c>
      <c r="V273">
        <v>39.08</v>
      </c>
      <c r="W273">
        <v>1</v>
      </c>
      <c r="X273">
        <v>23788.5</v>
      </c>
      <c r="Z273" t="s">
        <v>491</v>
      </c>
      <c r="AA273" t="s">
        <v>491</v>
      </c>
      <c r="AC273" t="s">
        <v>491</v>
      </c>
      <c r="AD273" t="s">
        <v>492</v>
      </c>
      <c r="AE273" t="s">
        <v>492</v>
      </c>
      <c r="AF273">
        <v>2</v>
      </c>
      <c r="AG273">
        <v>4</v>
      </c>
      <c r="AH273">
        <v>2</v>
      </c>
      <c r="AI273">
        <v>0</v>
      </c>
      <c r="AJ273">
        <v>0</v>
      </c>
      <c r="AK273">
        <v>1</v>
      </c>
      <c r="AL273">
        <v>1</v>
      </c>
      <c r="AM273">
        <v>2</v>
      </c>
      <c r="AN273" t="s">
        <v>685</v>
      </c>
      <c r="AO273" t="s">
        <v>494</v>
      </c>
      <c r="AP273">
        <v>14</v>
      </c>
      <c r="AQ273" t="s">
        <v>495</v>
      </c>
      <c r="AR273" t="s">
        <v>496</v>
      </c>
      <c r="AS273">
        <v>5</v>
      </c>
      <c r="AT273" t="s">
        <v>497</v>
      </c>
      <c r="AU273" t="s">
        <v>1433</v>
      </c>
      <c r="AV273" t="s">
        <v>498</v>
      </c>
      <c r="AW273" t="s">
        <v>1434</v>
      </c>
      <c r="AX273">
        <v>44.794701119999999</v>
      </c>
      <c r="AY273">
        <v>-68.766163859999992</v>
      </c>
      <c r="AZ273">
        <v>11</v>
      </c>
      <c r="BA273" t="s">
        <v>551</v>
      </c>
      <c r="BB273" t="s">
        <v>501</v>
      </c>
      <c r="BC273">
        <v>3111001</v>
      </c>
      <c r="BD273">
        <v>4</v>
      </c>
      <c r="BE273" t="s">
        <v>502</v>
      </c>
      <c r="BF273" t="s">
        <v>503</v>
      </c>
      <c r="BG273" t="s">
        <v>504</v>
      </c>
      <c r="BH273" t="s">
        <v>505</v>
      </c>
      <c r="BI273">
        <v>285808</v>
      </c>
      <c r="BJ273">
        <v>0</v>
      </c>
    </row>
    <row r="274" spans="1:62" x14ac:dyDescent="0.35">
      <c r="A274" t="s">
        <v>1001</v>
      </c>
      <c r="B274" t="s">
        <v>1435</v>
      </c>
      <c r="C274" s="292">
        <v>44477</v>
      </c>
      <c r="D274" t="s">
        <v>479</v>
      </c>
      <c r="E274" t="s">
        <v>549</v>
      </c>
      <c r="F274" t="s">
        <v>916</v>
      </c>
      <c r="G274">
        <v>2021</v>
      </c>
      <c r="H274" t="s">
        <v>396</v>
      </c>
      <c r="I274" t="s">
        <v>482</v>
      </c>
      <c r="J274" t="s">
        <v>483</v>
      </c>
      <c r="K274" t="s">
        <v>576</v>
      </c>
      <c r="L274" t="s">
        <v>485</v>
      </c>
      <c r="M274" t="s">
        <v>486</v>
      </c>
      <c r="N274" t="s">
        <v>487</v>
      </c>
      <c r="O274" t="s">
        <v>553</v>
      </c>
      <c r="Q274" t="s">
        <v>557</v>
      </c>
      <c r="T274" t="s">
        <v>1003</v>
      </c>
      <c r="U274" t="s">
        <v>1004</v>
      </c>
      <c r="V274">
        <v>39.81</v>
      </c>
      <c r="W274">
        <v>1</v>
      </c>
      <c r="X274">
        <v>8935</v>
      </c>
      <c r="Y274">
        <v>25</v>
      </c>
      <c r="Z274" t="s">
        <v>491</v>
      </c>
      <c r="AA274" t="s">
        <v>491</v>
      </c>
      <c r="AB274" t="s">
        <v>491</v>
      </c>
      <c r="AC274" t="s">
        <v>491</v>
      </c>
      <c r="AD274" t="s">
        <v>492</v>
      </c>
      <c r="AE274" t="s">
        <v>492</v>
      </c>
      <c r="AF274">
        <v>2</v>
      </c>
      <c r="AG274">
        <v>2</v>
      </c>
      <c r="AH274">
        <v>0</v>
      </c>
      <c r="AI274">
        <v>0</v>
      </c>
      <c r="AJ274">
        <v>0</v>
      </c>
      <c r="AK274">
        <v>0</v>
      </c>
      <c r="AL274">
        <v>0</v>
      </c>
      <c r="AM274">
        <v>2</v>
      </c>
      <c r="AN274" t="s">
        <v>493</v>
      </c>
      <c r="AO274" t="s">
        <v>494</v>
      </c>
      <c r="AP274">
        <v>7</v>
      </c>
      <c r="AQ274" t="s">
        <v>495</v>
      </c>
      <c r="AR274" t="s">
        <v>558</v>
      </c>
      <c r="AS274">
        <v>6</v>
      </c>
      <c r="AT274" t="s">
        <v>497</v>
      </c>
      <c r="AU274" t="s">
        <v>1435</v>
      </c>
      <c r="AV274" t="s">
        <v>498</v>
      </c>
      <c r="AW274" t="s">
        <v>1436</v>
      </c>
      <c r="AX274">
        <v>44.78728022</v>
      </c>
      <c r="AY274">
        <v>-68.756007760000003</v>
      </c>
      <c r="AZ274">
        <v>10</v>
      </c>
      <c r="BA274" t="s">
        <v>548</v>
      </c>
      <c r="BB274" t="s">
        <v>501</v>
      </c>
      <c r="BC274">
        <v>3115152</v>
      </c>
      <c r="BD274">
        <v>4</v>
      </c>
      <c r="BE274" t="s">
        <v>502</v>
      </c>
      <c r="BF274" t="s">
        <v>503</v>
      </c>
      <c r="BG274" t="s">
        <v>504</v>
      </c>
      <c r="BH274" t="s">
        <v>560</v>
      </c>
      <c r="BI274">
        <v>289123</v>
      </c>
      <c r="BJ274">
        <v>0.03</v>
      </c>
    </row>
    <row r="275" spans="1:62" x14ac:dyDescent="0.35">
      <c r="A275" t="s">
        <v>1001</v>
      </c>
      <c r="B275" t="s">
        <v>1437</v>
      </c>
      <c r="C275" s="292">
        <v>44476</v>
      </c>
      <c r="D275" t="s">
        <v>479</v>
      </c>
      <c r="E275" t="s">
        <v>516</v>
      </c>
      <c r="F275" t="s">
        <v>910</v>
      </c>
      <c r="G275">
        <v>2021</v>
      </c>
      <c r="H275" t="s">
        <v>396</v>
      </c>
      <c r="I275" t="s">
        <v>482</v>
      </c>
      <c r="J275" t="s">
        <v>510</v>
      </c>
      <c r="K275" t="s">
        <v>525</v>
      </c>
      <c r="L275" t="s">
        <v>485</v>
      </c>
      <c r="M275" t="s">
        <v>486</v>
      </c>
      <c r="N275" t="s">
        <v>487</v>
      </c>
      <c r="O275" t="s">
        <v>488</v>
      </c>
      <c r="S275">
        <v>38309</v>
      </c>
      <c r="T275" t="s">
        <v>1003</v>
      </c>
      <c r="U275" t="s">
        <v>1004</v>
      </c>
      <c r="V275">
        <v>39.840000000000003</v>
      </c>
      <c r="W275">
        <v>1</v>
      </c>
      <c r="X275">
        <v>9913.5</v>
      </c>
      <c r="Z275" t="s">
        <v>491</v>
      </c>
      <c r="AA275" t="s">
        <v>491</v>
      </c>
      <c r="AB275" t="s">
        <v>491</v>
      </c>
      <c r="AC275" t="s">
        <v>491</v>
      </c>
      <c r="AD275" t="s">
        <v>492</v>
      </c>
      <c r="AE275" t="s">
        <v>492</v>
      </c>
      <c r="AF275">
        <v>2</v>
      </c>
      <c r="AG275">
        <v>4</v>
      </c>
      <c r="AH275">
        <v>0</v>
      </c>
      <c r="AI275">
        <v>0</v>
      </c>
      <c r="AJ275">
        <v>0</v>
      </c>
      <c r="AK275">
        <v>0</v>
      </c>
      <c r="AL275">
        <v>0</v>
      </c>
      <c r="AM275">
        <v>4</v>
      </c>
      <c r="AN275" t="s">
        <v>493</v>
      </c>
      <c r="AO275" t="s">
        <v>494</v>
      </c>
      <c r="AP275">
        <v>16</v>
      </c>
      <c r="AQ275" t="s">
        <v>495</v>
      </c>
      <c r="AR275" t="s">
        <v>496</v>
      </c>
      <c r="AS275">
        <v>5</v>
      </c>
      <c r="AT275" t="s">
        <v>497</v>
      </c>
      <c r="AU275" t="s">
        <v>1437</v>
      </c>
      <c r="AV275" t="s">
        <v>498</v>
      </c>
      <c r="AW275" t="s">
        <v>1438</v>
      </c>
      <c r="AX275">
        <v>44.786902750000003</v>
      </c>
      <c r="AY275">
        <v>-68.75555507</v>
      </c>
      <c r="AZ275">
        <v>10</v>
      </c>
      <c r="BA275" t="s">
        <v>548</v>
      </c>
      <c r="BB275" t="s">
        <v>501</v>
      </c>
      <c r="BC275">
        <v>3115152</v>
      </c>
      <c r="BD275">
        <v>4</v>
      </c>
      <c r="BE275" t="s">
        <v>502</v>
      </c>
      <c r="BF275" t="s">
        <v>503</v>
      </c>
      <c r="BG275" t="s">
        <v>504</v>
      </c>
      <c r="BH275" t="s">
        <v>505</v>
      </c>
      <c r="BI275">
        <v>290109</v>
      </c>
      <c r="BJ275">
        <v>0</v>
      </c>
    </row>
    <row r="276" spans="1:62" x14ac:dyDescent="0.35">
      <c r="A276" t="s">
        <v>1001</v>
      </c>
      <c r="B276" t="s">
        <v>1439</v>
      </c>
      <c r="C276" s="292">
        <v>44476</v>
      </c>
      <c r="D276" t="s">
        <v>479</v>
      </c>
      <c r="E276" t="s">
        <v>516</v>
      </c>
      <c r="F276" t="s">
        <v>1440</v>
      </c>
      <c r="G276">
        <v>2021</v>
      </c>
      <c r="H276" t="s">
        <v>396</v>
      </c>
      <c r="I276" t="s">
        <v>482</v>
      </c>
      <c r="J276" t="s">
        <v>415</v>
      </c>
      <c r="K276" t="s">
        <v>525</v>
      </c>
      <c r="L276" t="s">
        <v>485</v>
      </c>
      <c r="M276" t="s">
        <v>486</v>
      </c>
      <c r="N276" t="s">
        <v>487</v>
      </c>
      <c r="O276" t="s">
        <v>488</v>
      </c>
      <c r="S276">
        <v>39771</v>
      </c>
      <c r="T276" t="s">
        <v>1003</v>
      </c>
      <c r="U276" t="s">
        <v>1004</v>
      </c>
      <c r="V276">
        <v>39.26</v>
      </c>
      <c r="W276">
        <v>1</v>
      </c>
      <c r="X276">
        <v>8864</v>
      </c>
      <c r="Z276" t="s">
        <v>646</v>
      </c>
      <c r="AA276" t="s">
        <v>491</v>
      </c>
      <c r="AB276" t="s">
        <v>491</v>
      </c>
      <c r="AC276" t="s">
        <v>491</v>
      </c>
      <c r="AD276" t="s">
        <v>492</v>
      </c>
      <c r="AE276" t="s">
        <v>492</v>
      </c>
      <c r="AF276">
        <v>2</v>
      </c>
      <c r="AG276">
        <v>2</v>
      </c>
      <c r="AH276">
        <v>1</v>
      </c>
      <c r="AI276">
        <v>0</v>
      </c>
      <c r="AJ276">
        <v>0</v>
      </c>
      <c r="AK276">
        <v>0</v>
      </c>
      <c r="AL276">
        <v>1</v>
      </c>
      <c r="AM276">
        <v>1</v>
      </c>
      <c r="AN276" t="s">
        <v>519</v>
      </c>
      <c r="AO276" t="s">
        <v>494</v>
      </c>
      <c r="AP276">
        <v>17</v>
      </c>
      <c r="AQ276" t="s">
        <v>795</v>
      </c>
      <c r="AR276" t="s">
        <v>496</v>
      </c>
      <c r="AS276">
        <v>5</v>
      </c>
      <c r="AT276" t="s">
        <v>497</v>
      </c>
      <c r="AU276" t="s">
        <v>1439</v>
      </c>
      <c r="AV276" t="s">
        <v>498</v>
      </c>
      <c r="AW276" t="s">
        <v>1441</v>
      </c>
      <c r="AX276">
        <v>44.7932104</v>
      </c>
      <c r="AY276">
        <v>-68.763276059999995</v>
      </c>
      <c r="AZ276">
        <v>10</v>
      </c>
      <c r="BA276" t="s">
        <v>548</v>
      </c>
      <c r="BB276" t="s">
        <v>501</v>
      </c>
      <c r="BC276">
        <v>220183</v>
      </c>
      <c r="BD276">
        <v>4</v>
      </c>
      <c r="BE276" t="s">
        <v>502</v>
      </c>
      <c r="BF276" t="s">
        <v>503</v>
      </c>
      <c r="BG276" t="s">
        <v>504</v>
      </c>
      <c r="BH276" t="s">
        <v>505</v>
      </c>
      <c r="BI276">
        <v>290326</v>
      </c>
      <c r="BJ276">
        <v>0</v>
      </c>
    </row>
    <row r="277" spans="1:62" x14ac:dyDescent="0.35">
      <c r="A277" t="s">
        <v>1001</v>
      </c>
      <c r="B277" t="s">
        <v>1442</v>
      </c>
      <c r="C277" s="292">
        <v>44056</v>
      </c>
      <c r="D277" t="s">
        <v>479</v>
      </c>
      <c r="E277" t="s">
        <v>516</v>
      </c>
      <c r="F277" t="s">
        <v>1443</v>
      </c>
      <c r="G277">
        <v>2020</v>
      </c>
      <c r="H277" t="s">
        <v>396</v>
      </c>
      <c r="I277" t="s">
        <v>482</v>
      </c>
      <c r="J277" t="s">
        <v>510</v>
      </c>
      <c r="K277" t="s">
        <v>484</v>
      </c>
      <c r="L277" t="s">
        <v>485</v>
      </c>
      <c r="M277" t="s">
        <v>486</v>
      </c>
      <c r="N277" t="s">
        <v>487</v>
      </c>
      <c r="O277" t="s">
        <v>511</v>
      </c>
      <c r="Q277" t="s">
        <v>488</v>
      </c>
      <c r="S277">
        <v>39685</v>
      </c>
      <c r="T277" t="s">
        <v>1003</v>
      </c>
      <c r="U277" t="s">
        <v>1004</v>
      </c>
      <c r="V277">
        <v>39.08</v>
      </c>
      <c r="W277">
        <v>1</v>
      </c>
      <c r="X277">
        <v>23788.5</v>
      </c>
      <c r="Z277" t="s">
        <v>491</v>
      </c>
      <c r="AA277" t="s">
        <v>491</v>
      </c>
      <c r="AB277" t="s">
        <v>491</v>
      </c>
      <c r="AC277" t="s">
        <v>491</v>
      </c>
      <c r="AD277" t="s">
        <v>492</v>
      </c>
      <c r="AE277" t="s">
        <v>492</v>
      </c>
      <c r="AF277">
        <v>2</v>
      </c>
      <c r="AG277">
        <v>2</v>
      </c>
      <c r="AH277">
        <v>0</v>
      </c>
      <c r="AI277">
        <v>0</v>
      </c>
      <c r="AJ277">
        <v>0</v>
      </c>
      <c r="AK277">
        <v>0</v>
      </c>
      <c r="AL277">
        <v>0</v>
      </c>
      <c r="AM277">
        <v>2</v>
      </c>
      <c r="AN277" t="s">
        <v>493</v>
      </c>
      <c r="AO277" t="s">
        <v>494</v>
      </c>
      <c r="AP277">
        <v>7</v>
      </c>
      <c r="AQ277" t="s">
        <v>495</v>
      </c>
      <c r="AR277" t="s">
        <v>496</v>
      </c>
      <c r="AS277">
        <v>5</v>
      </c>
      <c r="AT277" t="s">
        <v>497</v>
      </c>
      <c r="AU277" t="s">
        <v>1442</v>
      </c>
      <c r="AV277" t="s">
        <v>498</v>
      </c>
      <c r="AW277" t="s">
        <v>1444</v>
      </c>
      <c r="AX277">
        <v>44.794701119999999</v>
      </c>
      <c r="AY277">
        <v>-68.766163859999992</v>
      </c>
      <c r="AZ277">
        <v>8</v>
      </c>
      <c r="BA277" t="s">
        <v>667</v>
      </c>
      <c r="BB277" t="s">
        <v>501</v>
      </c>
      <c r="BC277">
        <v>3111001</v>
      </c>
      <c r="BD277">
        <v>4</v>
      </c>
      <c r="BE277" t="s">
        <v>502</v>
      </c>
      <c r="BF277" t="s">
        <v>503</v>
      </c>
      <c r="BG277" t="s">
        <v>504</v>
      </c>
      <c r="BH277" t="s">
        <v>505</v>
      </c>
      <c r="BI277">
        <v>290971</v>
      </c>
      <c r="BJ277">
        <v>0</v>
      </c>
    </row>
    <row r="278" spans="1:62" x14ac:dyDescent="0.35">
      <c r="A278" t="s">
        <v>1001</v>
      </c>
      <c r="B278" t="s">
        <v>1445</v>
      </c>
      <c r="C278" s="292">
        <v>44366</v>
      </c>
      <c r="D278" t="s">
        <v>479</v>
      </c>
      <c r="E278" t="s">
        <v>552</v>
      </c>
      <c r="F278" t="s">
        <v>582</v>
      </c>
      <c r="G278">
        <v>2021</v>
      </c>
      <c r="H278" t="s">
        <v>396</v>
      </c>
      <c r="I278" t="s">
        <v>482</v>
      </c>
      <c r="J278" t="s">
        <v>510</v>
      </c>
      <c r="K278" t="s">
        <v>484</v>
      </c>
      <c r="L278" t="s">
        <v>526</v>
      </c>
      <c r="M278" t="s">
        <v>486</v>
      </c>
      <c r="N278" t="s">
        <v>487</v>
      </c>
      <c r="O278" t="s">
        <v>511</v>
      </c>
      <c r="P278" t="s">
        <v>488</v>
      </c>
      <c r="Q278" t="s">
        <v>488</v>
      </c>
      <c r="S278">
        <v>39685</v>
      </c>
      <c r="T278" t="s">
        <v>1003</v>
      </c>
      <c r="U278" t="s">
        <v>1004</v>
      </c>
      <c r="V278">
        <v>39.08</v>
      </c>
      <c r="W278">
        <v>1</v>
      </c>
      <c r="X278">
        <v>23788.5</v>
      </c>
      <c r="Z278" t="s">
        <v>491</v>
      </c>
      <c r="AA278" t="s">
        <v>491</v>
      </c>
      <c r="AB278" t="s">
        <v>491</v>
      </c>
      <c r="AC278" t="s">
        <v>491</v>
      </c>
      <c r="AD278" t="s">
        <v>492</v>
      </c>
      <c r="AE278" t="s">
        <v>492</v>
      </c>
      <c r="AF278">
        <v>2</v>
      </c>
      <c r="AG278">
        <v>3</v>
      </c>
      <c r="AH278">
        <v>0</v>
      </c>
      <c r="AI278">
        <v>0</v>
      </c>
      <c r="AJ278">
        <v>0</v>
      </c>
      <c r="AK278">
        <v>0</v>
      </c>
      <c r="AL278">
        <v>0</v>
      </c>
      <c r="AM278">
        <v>3</v>
      </c>
      <c r="AN278" t="s">
        <v>493</v>
      </c>
      <c r="AO278" t="s">
        <v>494</v>
      </c>
      <c r="AP278">
        <v>16</v>
      </c>
      <c r="AQ278" t="s">
        <v>495</v>
      </c>
      <c r="AR278" t="s">
        <v>496</v>
      </c>
      <c r="AS278">
        <v>7</v>
      </c>
      <c r="AT278" t="s">
        <v>497</v>
      </c>
      <c r="AU278" t="s">
        <v>1445</v>
      </c>
      <c r="AV278" t="s">
        <v>498</v>
      </c>
      <c r="AW278" t="s">
        <v>1446</v>
      </c>
      <c r="AX278">
        <v>44.794701119999999</v>
      </c>
      <c r="AY278">
        <v>-68.766163859999992</v>
      </c>
      <c r="AZ278">
        <v>6</v>
      </c>
      <c r="BA278" t="s">
        <v>544</v>
      </c>
      <c r="BB278" t="s">
        <v>501</v>
      </c>
      <c r="BC278">
        <v>3111001</v>
      </c>
      <c r="BD278">
        <v>4</v>
      </c>
      <c r="BE278" t="s">
        <v>502</v>
      </c>
      <c r="BF278" t="s">
        <v>503</v>
      </c>
      <c r="BG278" t="s">
        <v>504</v>
      </c>
      <c r="BH278" t="s">
        <v>505</v>
      </c>
      <c r="BI278">
        <v>293700</v>
      </c>
      <c r="BJ278">
        <v>0</v>
      </c>
    </row>
    <row r="279" spans="1:62" x14ac:dyDescent="0.35">
      <c r="A279" t="s">
        <v>1001</v>
      </c>
      <c r="B279" t="s">
        <v>1447</v>
      </c>
      <c r="C279" s="292">
        <v>45484</v>
      </c>
      <c r="D279" t="s">
        <v>479</v>
      </c>
      <c r="E279" t="s">
        <v>801</v>
      </c>
      <c r="F279" t="s">
        <v>1448</v>
      </c>
      <c r="G279">
        <v>2024</v>
      </c>
      <c r="H279" t="s">
        <v>396</v>
      </c>
      <c r="I279" t="s">
        <v>482</v>
      </c>
      <c r="J279" t="s">
        <v>510</v>
      </c>
      <c r="K279" t="s">
        <v>576</v>
      </c>
      <c r="L279" t="s">
        <v>485</v>
      </c>
      <c r="M279" t="s">
        <v>486</v>
      </c>
      <c r="O279" t="s">
        <v>511</v>
      </c>
      <c r="Q279" t="s">
        <v>488</v>
      </c>
      <c r="T279" t="s">
        <v>1003</v>
      </c>
      <c r="U279" t="s">
        <v>1004</v>
      </c>
      <c r="V279">
        <v>39.25</v>
      </c>
      <c r="W279">
        <v>1</v>
      </c>
      <c r="X279">
        <v>8531</v>
      </c>
      <c r="Y279">
        <v>25</v>
      </c>
      <c r="Z279" t="s">
        <v>491</v>
      </c>
      <c r="AA279" t="s">
        <v>491</v>
      </c>
      <c r="AC279" t="s">
        <v>491</v>
      </c>
      <c r="AD279" t="s">
        <v>492</v>
      </c>
      <c r="AE279" t="s">
        <v>492</v>
      </c>
      <c r="AF279">
        <v>2</v>
      </c>
      <c r="AG279">
        <v>2</v>
      </c>
      <c r="AH279">
        <v>0</v>
      </c>
      <c r="AI279">
        <v>0</v>
      </c>
      <c r="AJ279">
        <v>0</v>
      </c>
      <c r="AK279">
        <v>0</v>
      </c>
      <c r="AL279">
        <v>0</v>
      </c>
      <c r="AM279">
        <v>2</v>
      </c>
      <c r="AN279" t="s">
        <v>493</v>
      </c>
      <c r="AO279" t="s">
        <v>494</v>
      </c>
      <c r="AP279">
        <v>9</v>
      </c>
      <c r="AQ279" t="s">
        <v>396</v>
      </c>
      <c r="AR279" t="s">
        <v>558</v>
      </c>
      <c r="AS279">
        <v>5</v>
      </c>
      <c r="AT279" t="s">
        <v>497</v>
      </c>
      <c r="AU279" t="s">
        <v>1447</v>
      </c>
      <c r="AV279" t="s">
        <v>498</v>
      </c>
      <c r="AW279" t="s">
        <v>1449</v>
      </c>
      <c r="AX279">
        <v>44.793333019999999</v>
      </c>
      <c r="AY279">
        <v>-68.763422259999999</v>
      </c>
      <c r="AZ279">
        <v>7</v>
      </c>
      <c r="BA279" t="s">
        <v>500</v>
      </c>
      <c r="BB279" t="s">
        <v>501</v>
      </c>
      <c r="BC279">
        <v>220183</v>
      </c>
      <c r="BD279">
        <v>4</v>
      </c>
      <c r="BE279" t="s">
        <v>502</v>
      </c>
      <c r="BF279" t="s">
        <v>503</v>
      </c>
      <c r="BG279" t="s">
        <v>504</v>
      </c>
      <c r="BH279" t="s">
        <v>560</v>
      </c>
      <c r="BI279">
        <v>294506</v>
      </c>
      <c r="BJ279">
        <v>0.01</v>
      </c>
    </row>
    <row r="280" spans="1:62" x14ac:dyDescent="0.35">
      <c r="A280" t="s">
        <v>1001</v>
      </c>
      <c r="B280" t="s">
        <v>1450</v>
      </c>
      <c r="C280" s="292">
        <v>44624</v>
      </c>
      <c r="D280" t="s">
        <v>479</v>
      </c>
      <c r="E280" t="s">
        <v>549</v>
      </c>
      <c r="F280" t="s">
        <v>1451</v>
      </c>
      <c r="G280">
        <v>2022</v>
      </c>
      <c r="H280" t="s">
        <v>396</v>
      </c>
      <c r="I280" t="s">
        <v>482</v>
      </c>
      <c r="J280" t="s">
        <v>510</v>
      </c>
      <c r="K280" t="s">
        <v>576</v>
      </c>
      <c r="L280" t="s">
        <v>485</v>
      </c>
      <c r="M280" t="s">
        <v>486</v>
      </c>
      <c r="O280" t="s">
        <v>557</v>
      </c>
      <c r="Q280" t="s">
        <v>630</v>
      </c>
      <c r="T280" t="s">
        <v>1003</v>
      </c>
      <c r="U280" t="s">
        <v>1004</v>
      </c>
      <c r="V280">
        <v>39.4</v>
      </c>
      <c r="W280">
        <v>1</v>
      </c>
      <c r="X280">
        <v>8737</v>
      </c>
      <c r="Y280">
        <v>25</v>
      </c>
      <c r="Z280" t="s">
        <v>491</v>
      </c>
      <c r="AA280" t="s">
        <v>491</v>
      </c>
      <c r="AB280" t="s">
        <v>491</v>
      </c>
      <c r="AC280" t="s">
        <v>491</v>
      </c>
      <c r="AD280" t="s">
        <v>492</v>
      </c>
      <c r="AE280" t="s">
        <v>492</v>
      </c>
      <c r="AF280">
        <v>2</v>
      </c>
      <c r="AG280">
        <v>2</v>
      </c>
      <c r="AH280">
        <v>0</v>
      </c>
      <c r="AI280">
        <v>0</v>
      </c>
      <c r="AJ280">
        <v>0</v>
      </c>
      <c r="AK280">
        <v>0</v>
      </c>
      <c r="AL280">
        <v>0</v>
      </c>
      <c r="AM280">
        <v>2</v>
      </c>
      <c r="AN280" t="s">
        <v>493</v>
      </c>
      <c r="AO280" t="s">
        <v>494</v>
      </c>
      <c r="AP280">
        <v>16</v>
      </c>
      <c r="AQ280" t="s">
        <v>396</v>
      </c>
      <c r="AR280" t="s">
        <v>558</v>
      </c>
      <c r="AS280">
        <v>6</v>
      </c>
      <c r="AT280" t="s">
        <v>497</v>
      </c>
      <c r="AU280" t="s">
        <v>1450</v>
      </c>
      <c r="AV280" t="s">
        <v>498</v>
      </c>
      <c r="AW280" t="s">
        <v>1452</v>
      </c>
      <c r="AX280">
        <v>44.791713540000003</v>
      </c>
      <c r="AY280">
        <v>-68.761439469999999</v>
      </c>
      <c r="AZ280">
        <v>3</v>
      </c>
      <c r="BA280" t="s">
        <v>622</v>
      </c>
      <c r="BB280" t="s">
        <v>501</v>
      </c>
      <c r="BC280">
        <v>3944111</v>
      </c>
      <c r="BD280">
        <v>4</v>
      </c>
      <c r="BE280" t="s">
        <v>502</v>
      </c>
      <c r="BF280" t="s">
        <v>503</v>
      </c>
      <c r="BG280" t="s">
        <v>504</v>
      </c>
      <c r="BH280" t="s">
        <v>560</v>
      </c>
      <c r="BI280">
        <v>300831</v>
      </c>
      <c r="BJ280">
        <v>0.05</v>
      </c>
    </row>
    <row r="281" spans="1:62" x14ac:dyDescent="0.35">
      <c r="A281" t="s">
        <v>1001</v>
      </c>
      <c r="B281" t="s">
        <v>1453</v>
      </c>
      <c r="C281" s="292">
        <v>43528</v>
      </c>
      <c r="D281" t="s">
        <v>479</v>
      </c>
      <c r="E281" t="s">
        <v>523</v>
      </c>
      <c r="F281" t="s">
        <v>798</v>
      </c>
      <c r="G281">
        <v>2019</v>
      </c>
      <c r="H281" t="s">
        <v>396</v>
      </c>
      <c r="I281" t="s">
        <v>482</v>
      </c>
      <c r="J281" t="s">
        <v>483</v>
      </c>
      <c r="K281" t="s">
        <v>576</v>
      </c>
      <c r="L281" t="s">
        <v>526</v>
      </c>
      <c r="M281" t="s">
        <v>486</v>
      </c>
      <c r="O281" t="s">
        <v>553</v>
      </c>
      <c r="Q281" t="s">
        <v>488</v>
      </c>
      <c r="T281" t="s">
        <v>1007</v>
      </c>
      <c r="U281" t="s">
        <v>1008</v>
      </c>
      <c r="V281">
        <v>0.70000000000000007</v>
      </c>
      <c r="W281">
        <v>2</v>
      </c>
      <c r="X281">
        <v>12893</v>
      </c>
      <c r="Y281">
        <v>25</v>
      </c>
      <c r="Z281" t="s">
        <v>491</v>
      </c>
      <c r="AA281" t="s">
        <v>491</v>
      </c>
      <c r="AB281" t="s">
        <v>491</v>
      </c>
      <c r="AC281" t="s">
        <v>491</v>
      </c>
      <c r="AD281" t="s">
        <v>492</v>
      </c>
      <c r="AE281" t="s">
        <v>492</v>
      </c>
      <c r="AF281">
        <v>2</v>
      </c>
      <c r="AG281">
        <v>3</v>
      </c>
      <c r="AH281">
        <v>0</v>
      </c>
      <c r="AI281">
        <v>0</v>
      </c>
      <c r="AJ281">
        <v>0</v>
      </c>
      <c r="AK281">
        <v>0</v>
      </c>
      <c r="AL281">
        <v>0</v>
      </c>
      <c r="AM281">
        <v>3</v>
      </c>
      <c r="AN281" t="s">
        <v>493</v>
      </c>
      <c r="AO281" t="s">
        <v>494</v>
      </c>
      <c r="AP281">
        <v>16</v>
      </c>
      <c r="AQ281" t="s">
        <v>396</v>
      </c>
      <c r="AR281" t="s">
        <v>672</v>
      </c>
      <c r="AS281">
        <v>2</v>
      </c>
      <c r="AT281" t="s">
        <v>497</v>
      </c>
      <c r="AU281" t="s">
        <v>1453</v>
      </c>
      <c r="AV281" t="s">
        <v>758</v>
      </c>
      <c r="AW281" t="s">
        <v>1454</v>
      </c>
      <c r="AX281">
        <v>44.79442375</v>
      </c>
      <c r="AY281">
        <v>-68.766388079999999</v>
      </c>
      <c r="AZ281">
        <v>3</v>
      </c>
      <c r="BA281" t="s">
        <v>622</v>
      </c>
      <c r="BB281" t="s">
        <v>501</v>
      </c>
      <c r="BC281">
        <v>3111000</v>
      </c>
      <c r="BD281">
        <v>4</v>
      </c>
      <c r="BE281" t="s">
        <v>502</v>
      </c>
      <c r="BF281" t="s">
        <v>503</v>
      </c>
      <c r="BG281" t="s">
        <v>504</v>
      </c>
      <c r="BH281" t="s">
        <v>560</v>
      </c>
      <c r="BI281">
        <v>303242</v>
      </c>
      <c r="BJ281">
        <v>0.06</v>
      </c>
    </row>
    <row r="282" spans="1:62" x14ac:dyDescent="0.35">
      <c r="A282" t="s">
        <v>1001</v>
      </c>
      <c r="B282" t="s">
        <v>1455</v>
      </c>
      <c r="C282" s="292">
        <v>43230</v>
      </c>
      <c r="D282" t="s">
        <v>479</v>
      </c>
      <c r="E282" t="s">
        <v>516</v>
      </c>
      <c r="F282" t="s">
        <v>1456</v>
      </c>
      <c r="G282">
        <v>2018</v>
      </c>
      <c r="H282" t="s">
        <v>396</v>
      </c>
      <c r="I282" t="s">
        <v>482</v>
      </c>
      <c r="J282" t="s">
        <v>510</v>
      </c>
      <c r="K282" t="s">
        <v>576</v>
      </c>
      <c r="L282" t="s">
        <v>485</v>
      </c>
      <c r="M282" t="s">
        <v>486</v>
      </c>
      <c r="O282" t="s">
        <v>511</v>
      </c>
      <c r="Q282" t="s">
        <v>488</v>
      </c>
      <c r="T282" t="s">
        <v>1003</v>
      </c>
      <c r="U282" t="s">
        <v>1004</v>
      </c>
      <c r="V282">
        <v>39.119999999999997</v>
      </c>
      <c r="W282">
        <v>1</v>
      </c>
      <c r="X282">
        <v>8494</v>
      </c>
      <c r="Y282">
        <v>25</v>
      </c>
      <c r="Z282" t="s">
        <v>491</v>
      </c>
      <c r="AA282" t="s">
        <v>491</v>
      </c>
      <c r="AB282" t="s">
        <v>491</v>
      </c>
      <c r="AC282" t="s">
        <v>491</v>
      </c>
      <c r="AD282" t="s">
        <v>492</v>
      </c>
      <c r="AE282" t="s">
        <v>492</v>
      </c>
      <c r="AF282">
        <v>2</v>
      </c>
      <c r="AG282">
        <v>2</v>
      </c>
      <c r="AH282">
        <v>0</v>
      </c>
      <c r="AI282">
        <v>0</v>
      </c>
      <c r="AJ282">
        <v>0</v>
      </c>
      <c r="AK282">
        <v>0</v>
      </c>
      <c r="AL282">
        <v>0</v>
      </c>
      <c r="AM282">
        <v>2</v>
      </c>
      <c r="AN282" t="s">
        <v>493</v>
      </c>
      <c r="AO282" t="s">
        <v>494</v>
      </c>
      <c r="AP282">
        <v>15</v>
      </c>
      <c r="AQ282" t="s">
        <v>396</v>
      </c>
      <c r="AR282" t="s">
        <v>558</v>
      </c>
      <c r="AS282">
        <v>5</v>
      </c>
      <c r="AT282" t="s">
        <v>497</v>
      </c>
      <c r="AU282" t="s">
        <v>1455</v>
      </c>
      <c r="AV282" t="s">
        <v>498</v>
      </c>
      <c r="AW282" t="s">
        <v>1457</v>
      </c>
      <c r="AX282">
        <v>44.794387370000003</v>
      </c>
      <c r="AY282">
        <v>-68.765489729999999</v>
      </c>
      <c r="AZ282">
        <v>5</v>
      </c>
      <c r="BA282" t="s">
        <v>597</v>
      </c>
      <c r="BB282" t="s">
        <v>501</v>
      </c>
      <c r="BC282">
        <v>3119550</v>
      </c>
      <c r="BD282">
        <v>4</v>
      </c>
      <c r="BE282" t="s">
        <v>502</v>
      </c>
      <c r="BF282" t="s">
        <v>503</v>
      </c>
      <c r="BG282" t="s">
        <v>504</v>
      </c>
      <c r="BH282" t="s">
        <v>560</v>
      </c>
      <c r="BI282">
        <v>305129</v>
      </c>
      <c r="BJ282">
        <v>0.04</v>
      </c>
    </row>
    <row r="283" spans="1:62" x14ac:dyDescent="0.35">
      <c r="A283" t="s">
        <v>1001</v>
      </c>
      <c r="B283" t="s">
        <v>1459</v>
      </c>
      <c r="C283" s="292">
        <v>43406</v>
      </c>
      <c r="D283" t="s">
        <v>479</v>
      </c>
      <c r="E283" t="s">
        <v>549</v>
      </c>
      <c r="F283" t="s">
        <v>1460</v>
      </c>
      <c r="G283">
        <v>2018</v>
      </c>
      <c r="H283" t="s">
        <v>396</v>
      </c>
      <c r="I283" t="s">
        <v>482</v>
      </c>
      <c r="J283" t="s">
        <v>510</v>
      </c>
      <c r="K283" t="s">
        <v>484</v>
      </c>
      <c r="L283" t="s">
        <v>526</v>
      </c>
      <c r="M283" t="s">
        <v>665</v>
      </c>
      <c r="N283" t="s">
        <v>487</v>
      </c>
      <c r="O283" t="s">
        <v>511</v>
      </c>
      <c r="Q283" t="s">
        <v>488</v>
      </c>
      <c r="S283">
        <v>39685</v>
      </c>
      <c r="T283" t="s">
        <v>1003</v>
      </c>
      <c r="U283" t="s">
        <v>1004</v>
      </c>
      <c r="V283">
        <v>39.08</v>
      </c>
      <c r="W283">
        <v>1</v>
      </c>
      <c r="X283">
        <v>23788.5</v>
      </c>
      <c r="Z283" t="s">
        <v>491</v>
      </c>
      <c r="AA283" t="s">
        <v>491</v>
      </c>
      <c r="AB283" t="s">
        <v>491</v>
      </c>
      <c r="AC283" t="s">
        <v>491</v>
      </c>
      <c r="AD283" t="s">
        <v>492</v>
      </c>
      <c r="AE283" t="s">
        <v>492</v>
      </c>
      <c r="AF283">
        <v>2</v>
      </c>
      <c r="AG283">
        <v>4</v>
      </c>
      <c r="AH283">
        <v>0</v>
      </c>
      <c r="AI283">
        <v>0</v>
      </c>
      <c r="AJ283">
        <v>0</v>
      </c>
      <c r="AK283">
        <v>0</v>
      </c>
      <c r="AL283">
        <v>0</v>
      </c>
      <c r="AM283">
        <v>4</v>
      </c>
      <c r="AN283" t="s">
        <v>493</v>
      </c>
      <c r="AO283" t="s">
        <v>494</v>
      </c>
      <c r="AP283">
        <v>9</v>
      </c>
      <c r="AQ283" t="s">
        <v>495</v>
      </c>
      <c r="AR283" t="s">
        <v>496</v>
      </c>
      <c r="AS283">
        <v>6</v>
      </c>
      <c r="AT283" t="s">
        <v>497</v>
      </c>
      <c r="AU283" t="s">
        <v>1459</v>
      </c>
      <c r="AV283" t="s">
        <v>498</v>
      </c>
      <c r="AW283" t="s">
        <v>1461</v>
      </c>
      <c r="AX283">
        <v>44.794701119999999</v>
      </c>
      <c r="AY283">
        <v>-68.766163859999992</v>
      </c>
      <c r="AZ283">
        <v>11</v>
      </c>
      <c r="BA283" t="s">
        <v>551</v>
      </c>
      <c r="BB283" t="s">
        <v>501</v>
      </c>
      <c r="BC283">
        <v>3111001</v>
      </c>
      <c r="BD283">
        <v>4</v>
      </c>
      <c r="BE283" t="s">
        <v>502</v>
      </c>
      <c r="BF283" t="s">
        <v>503</v>
      </c>
      <c r="BG283" t="s">
        <v>504</v>
      </c>
      <c r="BH283" t="s">
        <v>505</v>
      </c>
      <c r="BI283">
        <v>307006</v>
      </c>
      <c r="BJ283">
        <v>0</v>
      </c>
    </row>
    <row r="284" spans="1:62" x14ac:dyDescent="0.35">
      <c r="A284" t="s">
        <v>1001</v>
      </c>
      <c r="B284" t="s">
        <v>1462</v>
      </c>
      <c r="C284" s="292">
        <v>43406</v>
      </c>
      <c r="D284" t="s">
        <v>479</v>
      </c>
      <c r="E284" t="s">
        <v>549</v>
      </c>
      <c r="F284" t="s">
        <v>1463</v>
      </c>
      <c r="G284">
        <v>2018</v>
      </c>
      <c r="H284" t="s">
        <v>396</v>
      </c>
      <c r="I284" t="s">
        <v>532</v>
      </c>
      <c r="J284" t="s">
        <v>483</v>
      </c>
      <c r="K284" t="s">
        <v>484</v>
      </c>
      <c r="L284" t="s">
        <v>526</v>
      </c>
      <c r="M284" t="s">
        <v>486</v>
      </c>
      <c r="N284" t="s">
        <v>487</v>
      </c>
      <c r="O284" t="s">
        <v>630</v>
      </c>
      <c r="P284" t="s">
        <v>586</v>
      </c>
      <c r="Q284" t="s">
        <v>488</v>
      </c>
      <c r="S284">
        <v>39685</v>
      </c>
      <c r="T284" t="s">
        <v>1003</v>
      </c>
      <c r="U284" t="s">
        <v>1004</v>
      </c>
      <c r="V284">
        <v>39.08</v>
      </c>
      <c r="W284">
        <v>1</v>
      </c>
      <c r="X284">
        <v>23788.5</v>
      </c>
      <c r="Z284" t="s">
        <v>491</v>
      </c>
      <c r="AA284" t="s">
        <v>491</v>
      </c>
      <c r="AB284" t="s">
        <v>491</v>
      </c>
      <c r="AC284" t="s">
        <v>491</v>
      </c>
      <c r="AD284" t="s">
        <v>492</v>
      </c>
      <c r="AE284" t="s">
        <v>492</v>
      </c>
      <c r="AF284">
        <v>2</v>
      </c>
      <c r="AG284">
        <v>2</v>
      </c>
      <c r="AH284">
        <v>0</v>
      </c>
      <c r="AI284">
        <v>0</v>
      </c>
      <c r="AJ284">
        <v>0</v>
      </c>
      <c r="AK284">
        <v>0</v>
      </c>
      <c r="AL284">
        <v>0</v>
      </c>
      <c r="AM284">
        <v>2</v>
      </c>
      <c r="AN284" t="s">
        <v>493</v>
      </c>
      <c r="AO284" t="s">
        <v>494</v>
      </c>
      <c r="AP284">
        <v>17</v>
      </c>
      <c r="AQ284" t="s">
        <v>495</v>
      </c>
      <c r="AR284" t="s">
        <v>496</v>
      </c>
      <c r="AS284">
        <v>6</v>
      </c>
      <c r="AT284" t="s">
        <v>497</v>
      </c>
      <c r="AU284" t="s">
        <v>1462</v>
      </c>
      <c r="AV284" t="s">
        <v>498</v>
      </c>
      <c r="AW284" t="s">
        <v>1464</v>
      </c>
      <c r="AX284">
        <v>44.794701119999999</v>
      </c>
      <c r="AY284">
        <v>-68.766163859999992</v>
      </c>
      <c r="AZ284">
        <v>11</v>
      </c>
      <c r="BA284" t="s">
        <v>551</v>
      </c>
      <c r="BB284" t="s">
        <v>501</v>
      </c>
      <c r="BC284">
        <v>3111001</v>
      </c>
      <c r="BD284">
        <v>4</v>
      </c>
      <c r="BE284" t="s">
        <v>502</v>
      </c>
      <c r="BF284" t="s">
        <v>503</v>
      </c>
      <c r="BG284" t="s">
        <v>504</v>
      </c>
      <c r="BH284" t="s">
        <v>505</v>
      </c>
      <c r="BI284">
        <v>307657</v>
      </c>
      <c r="BJ284">
        <v>0</v>
      </c>
    </row>
    <row r="285" spans="1:62" x14ac:dyDescent="0.35">
      <c r="A285" t="s">
        <v>1001</v>
      </c>
      <c r="B285" t="s">
        <v>1465</v>
      </c>
      <c r="C285" s="292">
        <v>45440</v>
      </c>
      <c r="D285" t="s">
        <v>479</v>
      </c>
      <c r="E285" t="s">
        <v>480</v>
      </c>
      <c r="F285" t="s">
        <v>1466</v>
      </c>
      <c r="G285">
        <v>2024</v>
      </c>
      <c r="H285" t="s">
        <v>396</v>
      </c>
      <c r="I285" t="s">
        <v>482</v>
      </c>
      <c r="J285" t="s">
        <v>510</v>
      </c>
      <c r="K285" t="s">
        <v>576</v>
      </c>
      <c r="L285" t="s">
        <v>485</v>
      </c>
      <c r="M285" t="s">
        <v>563</v>
      </c>
      <c r="O285" t="s">
        <v>564</v>
      </c>
      <c r="Q285" t="s">
        <v>488</v>
      </c>
      <c r="T285" t="s">
        <v>1003</v>
      </c>
      <c r="U285" t="s">
        <v>1004</v>
      </c>
      <c r="V285">
        <v>39.380000000000003</v>
      </c>
      <c r="W285">
        <v>1</v>
      </c>
      <c r="X285">
        <v>8737</v>
      </c>
      <c r="Y285">
        <v>25</v>
      </c>
      <c r="Z285" t="s">
        <v>491</v>
      </c>
      <c r="AA285" t="s">
        <v>491</v>
      </c>
      <c r="AC285" t="s">
        <v>491</v>
      </c>
      <c r="AD285" t="s">
        <v>492</v>
      </c>
      <c r="AE285" t="s">
        <v>492</v>
      </c>
      <c r="AF285">
        <v>2</v>
      </c>
      <c r="AG285">
        <v>3</v>
      </c>
      <c r="AH285">
        <v>2</v>
      </c>
      <c r="AI285">
        <v>0</v>
      </c>
      <c r="AJ285">
        <v>0</v>
      </c>
      <c r="AK285">
        <v>1</v>
      </c>
      <c r="AL285">
        <v>1</v>
      </c>
      <c r="AM285">
        <v>1</v>
      </c>
      <c r="AN285" t="s">
        <v>685</v>
      </c>
      <c r="AO285" t="s">
        <v>494</v>
      </c>
      <c r="AP285">
        <v>11</v>
      </c>
      <c r="AQ285" t="s">
        <v>396</v>
      </c>
      <c r="AR285" t="s">
        <v>558</v>
      </c>
      <c r="AS285">
        <v>3</v>
      </c>
      <c r="AT285" t="s">
        <v>497</v>
      </c>
      <c r="AU285" t="s">
        <v>1465</v>
      </c>
      <c r="AV285" t="s">
        <v>498</v>
      </c>
      <c r="AW285" t="s">
        <v>1467</v>
      </c>
      <c r="AX285">
        <v>44.79196254</v>
      </c>
      <c r="AY285">
        <v>-68.761740310000008</v>
      </c>
      <c r="AZ285">
        <v>5</v>
      </c>
      <c r="BA285" t="s">
        <v>597</v>
      </c>
      <c r="BB285" t="s">
        <v>501</v>
      </c>
      <c r="BC285">
        <v>3944111</v>
      </c>
      <c r="BD285">
        <v>4</v>
      </c>
      <c r="BE285" t="s">
        <v>502</v>
      </c>
      <c r="BF285" t="s">
        <v>503</v>
      </c>
      <c r="BG285" t="s">
        <v>504</v>
      </c>
      <c r="BH285" t="s">
        <v>560</v>
      </c>
      <c r="BI285">
        <v>309366</v>
      </c>
      <c r="BJ285">
        <v>7.0000000000000007E-2</v>
      </c>
    </row>
    <row r="286" spans="1:62" x14ac:dyDescent="0.35">
      <c r="A286" t="s">
        <v>1001</v>
      </c>
      <c r="B286" t="s">
        <v>1468</v>
      </c>
      <c r="C286" s="292">
        <v>43379</v>
      </c>
      <c r="D286" t="s">
        <v>479</v>
      </c>
      <c r="E286" t="s">
        <v>552</v>
      </c>
      <c r="F286" t="s">
        <v>1469</v>
      </c>
      <c r="G286">
        <v>2018</v>
      </c>
      <c r="H286" t="s">
        <v>396</v>
      </c>
      <c r="I286" t="s">
        <v>482</v>
      </c>
      <c r="J286" t="s">
        <v>510</v>
      </c>
      <c r="K286" t="s">
        <v>576</v>
      </c>
      <c r="L286" t="s">
        <v>485</v>
      </c>
      <c r="M286" t="s">
        <v>486</v>
      </c>
      <c r="N286" t="s">
        <v>487</v>
      </c>
      <c r="Q286" t="s">
        <v>985</v>
      </c>
      <c r="T286" t="s">
        <v>1003</v>
      </c>
      <c r="U286" t="s">
        <v>1004</v>
      </c>
      <c r="V286">
        <v>39.65</v>
      </c>
      <c r="W286">
        <v>1</v>
      </c>
      <c r="X286">
        <v>8755</v>
      </c>
      <c r="Y286">
        <v>25</v>
      </c>
      <c r="Z286" t="s">
        <v>491</v>
      </c>
      <c r="AA286" t="s">
        <v>491</v>
      </c>
      <c r="AB286" t="s">
        <v>491</v>
      </c>
      <c r="AC286" t="s">
        <v>491</v>
      </c>
      <c r="AD286" t="s">
        <v>492</v>
      </c>
      <c r="AE286" t="s">
        <v>492</v>
      </c>
      <c r="AF286">
        <v>2</v>
      </c>
      <c r="AG286">
        <v>2</v>
      </c>
      <c r="AH286">
        <v>0</v>
      </c>
      <c r="AI286">
        <v>0</v>
      </c>
      <c r="AJ286">
        <v>0</v>
      </c>
      <c r="AK286">
        <v>0</v>
      </c>
      <c r="AL286">
        <v>0</v>
      </c>
      <c r="AM286">
        <v>2</v>
      </c>
      <c r="AN286" t="s">
        <v>493</v>
      </c>
      <c r="AO286" t="s">
        <v>494</v>
      </c>
      <c r="AP286">
        <v>9</v>
      </c>
      <c r="AQ286" t="s">
        <v>396</v>
      </c>
      <c r="AR286" t="s">
        <v>558</v>
      </c>
      <c r="AS286">
        <v>7</v>
      </c>
      <c r="AT286" t="s">
        <v>497</v>
      </c>
      <c r="AU286" t="s">
        <v>1468</v>
      </c>
      <c r="AV286" t="s">
        <v>498</v>
      </c>
      <c r="AW286" t="s">
        <v>1470</v>
      </c>
      <c r="AX286">
        <v>44.788952429999988</v>
      </c>
      <c r="AY286">
        <v>-68.758081609999991</v>
      </c>
      <c r="AZ286">
        <v>10</v>
      </c>
      <c r="BA286" t="s">
        <v>548</v>
      </c>
      <c r="BB286" t="s">
        <v>501</v>
      </c>
      <c r="BC286">
        <v>3132133</v>
      </c>
      <c r="BD286">
        <v>4</v>
      </c>
      <c r="BE286" t="s">
        <v>502</v>
      </c>
      <c r="BF286" t="s">
        <v>503</v>
      </c>
      <c r="BG286" t="s">
        <v>504</v>
      </c>
      <c r="BH286" t="s">
        <v>560</v>
      </c>
      <c r="BI286">
        <v>312578</v>
      </c>
      <c r="BJ286">
        <v>7.0000000000000007E-2</v>
      </c>
    </row>
    <row r="287" spans="1:62" x14ac:dyDescent="0.35">
      <c r="A287" t="s">
        <v>1001</v>
      </c>
      <c r="B287" t="s">
        <v>1471</v>
      </c>
      <c r="C287" s="292">
        <v>45100</v>
      </c>
      <c r="D287" t="s">
        <v>479</v>
      </c>
      <c r="E287" t="s">
        <v>549</v>
      </c>
      <c r="F287" t="s">
        <v>1472</v>
      </c>
      <c r="G287">
        <v>2023</v>
      </c>
      <c r="H287" t="s">
        <v>1473</v>
      </c>
      <c r="I287" t="s">
        <v>482</v>
      </c>
      <c r="J287" t="s">
        <v>510</v>
      </c>
      <c r="K287" t="s">
        <v>525</v>
      </c>
      <c r="L287" t="s">
        <v>485</v>
      </c>
      <c r="M287" t="s">
        <v>486</v>
      </c>
      <c r="N287" t="s">
        <v>487</v>
      </c>
      <c r="O287" t="s">
        <v>511</v>
      </c>
      <c r="Q287" t="s">
        <v>488</v>
      </c>
      <c r="S287">
        <v>39766</v>
      </c>
      <c r="T287" t="s">
        <v>1003</v>
      </c>
      <c r="U287" t="s">
        <v>1004</v>
      </c>
      <c r="V287">
        <v>39.6</v>
      </c>
      <c r="W287">
        <v>1</v>
      </c>
      <c r="X287">
        <v>9537.5</v>
      </c>
      <c r="Z287" t="s">
        <v>491</v>
      </c>
      <c r="AA287" t="s">
        <v>491</v>
      </c>
      <c r="AC287" t="s">
        <v>491</v>
      </c>
      <c r="AD287" t="s">
        <v>492</v>
      </c>
      <c r="AE287" t="s">
        <v>492</v>
      </c>
      <c r="AF287">
        <v>2</v>
      </c>
      <c r="AG287">
        <v>2</v>
      </c>
      <c r="AH287">
        <v>0</v>
      </c>
      <c r="AI287">
        <v>0</v>
      </c>
      <c r="AJ287">
        <v>0</v>
      </c>
      <c r="AK287">
        <v>0</v>
      </c>
      <c r="AL287">
        <v>0</v>
      </c>
      <c r="AM287">
        <v>2</v>
      </c>
      <c r="AN287" t="s">
        <v>493</v>
      </c>
      <c r="AO287" t="s">
        <v>494</v>
      </c>
      <c r="AP287">
        <v>17</v>
      </c>
      <c r="AQ287" t="s">
        <v>795</v>
      </c>
      <c r="AR287" t="s">
        <v>496</v>
      </c>
      <c r="AS287">
        <v>6</v>
      </c>
      <c r="AT287" t="s">
        <v>497</v>
      </c>
      <c r="AU287" t="s">
        <v>1471</v>
      </c>
      <c r="AV287" t="s">
        <v>498</v>
      </c>
      <c r="AW287" t="s">
        <v>1474</v>
      </c>
      <c r="AX287">
        <v>44.789548969999998</v>
      </c>
      <c r="AY287">
        <v>-68.758795660000004</v>
      </c>
      <c r="AZ287">
        <v>6</v>
      </c>
      <c r="BA287" t="s">
        <v>544</v>
      </c>
      <c r="BB287" t="s">
        <v>501</v>
      </c>
      <c r="BC287">
        <v>3118758</v>
      </c>
      <c r="BD287">
        <v>4</v>
      </c>
      <c r="BE287" t="s">
        <v>502</v>
      </c>
      <c r="BF287" t="s">
        <v>503</v>
      </c>
      <c r="BG287" t="s">
        <v>504</v>
      </c>
      <c r="BH287" t="s">
        <v>505</v>
      </c>
      <c r="BI287">
        <v>313739</v>
      </c>
      <c r="BJ287">
        <v>0</v>
      </c>
    </row>
    <row r="288" spans="1:62" x14ac:dyDescent="0.35">
      <c r="A288" t="s">
        <v>1001</v>
      </c>
      <c r="B288" t="s">
        <v>1475</v>
      </c>
      <c r="C288" s="292">
        <v>43691</v>
      </c>
      <c r="D288" t="s">
        <v>479</v>
      </c>
      <c r="E288" t="s">
        <v>574</v>
      </c>
      <c r="F288" t="s">
        <v>1284</v>
      </c>
      <c r="G288">
        <v>2019</v>
      </c>
      <c r="H288" t="s">
        <v>396</v>
      </c>
      <c r="I288" t="s">
        <v>482</v>
      </c>
      <c r="J288" t="s">
        <v>483</v>
      </c>
      <c r="K288" t="s">
        <v>525</v>
      </c>
      <c r="L288" t="s">
        <v>485</v>
      </c>
      <c r="M288" t="s">
        <v>486</v>
      </c>
      <c r="N288" t="s">
        <v>487</v>
      </c>
      <c r="O288" t="s">
        <v>553</v>
      </c>
      <c r="Q288" t="s">
        <v>488</v>
      </c>
      <c r="S288">
        <v>39771</v>
      </c>
      <c r="T288" t="s">
        <v>1003</v>
      </c>
      <c r="U288" t="s">
        <v>1004</v>
      </c>
      <c r="V288">
        <v>39.26</v>
      </c>
      <c r="W288">
        <v>1</v>
      </c>
      <c r="X288">
        <v>8864</v>
      </c>
      <c r="Z288" t="s">
        <v>491</v>
      </c>
      <c r="AA288" t="s">
        <v>491</v>
      </c>
      <c r="AB288" t="s">
        <v>491</v>
      </c>
      <c r="AC288" t="s">
        <v>491</v>
      </c>
      <c r="AD288" t="s">
        <v>492</v>
      </c>
      <c r="AE288" t="s">
        <v>492</v>
      </c>
      <c r="AF288">
        <v>2</v>
      </c>
      <c r="AG288">
        <v>4</v>
      </c>
      <c r="AH288">
        <v>1</v>
      </c>
      <c r="AI288">
        <v>0</v>
      </c>
      <c r="AJ288">
        <v>0</v>
      </c>
      <c r="AK288">
        <v>0</v>
      </c>
      <c r="AL288">
        <v>1</v>
      </c>
      <c r="AM288">
        <v>3</v>
      </c>
      <c r="AN288" t="s">
        <v>519</v>
      </c>
      <c r="AO288" t="s">
        <v>494</v>
      </c>
      <c r="AP288">
        <v>13</v>
      </c>
      <c r="AQ288" t="s">
        <v>795</v>
      </c>
      <c r="AR288" t="s">
        <v>496</v>
      </c>
      <c r="AS288">
        <v>4</v>
      </c>
      <c r="AT288" t="s">
        <v>497</v>
      </c>
      <c r="AU288" t="s">
        <v>1475</v>
      </c>
      <c r="AV288" t="s">
        <v>498</v>
      </c>
      <c r="AW288" t="s">
        <v>1476</v>
      </c>
      <c r="AX288">
        <v>44.7932104</v>
      </c>
      <c r="AY288">
        <v>-68.763276059999995</v>
      </c>
      <c r="AZ288">
        <v>8</v>
      </c>
      <c r="BA288" t="s">
        <v>667</v>
      </c>
      <c r="BB288" t="s">
        <v>501</v>
      </c>
      <c r="BC288">
        <v>220183</v>
      </c>
      <c r="BD288">
        <v>4</v>
      </c>
      <c r="BE288" t="s">
        <v>502</v>
      </c>
      <c r="BF288" t="s">
        <v>503</v>
      </c>
      <c r="BG288" t="s">
        <v>504</v>
      </c>
      <c r="BH288" t="s">
        <v>505</v>
      </c>
      <c r="BI288">
        <v>314082</v>
      </c>
      <c r="BJ288">
        <v>0</v>
      </c>
    </row>
    <row r="289" spans="1:62" x14ac:dyDescent="0.35">
      <c r="A289" t="s">
        <v>1001</v>
      </c>
      <c r="B289" t="s">
        <v>1477</v>
      </c>
      <c r="C289" s="292">
        <v>43402</v>
      </c>
      <c r="D289" t="s">
        <v>479</v>
      </c>
      <c r="E289" t="s">
        <v>523</v>
      </c>
      <c r="F289" t="s">
        <v>1478</v>
      </c>
      <c r="G289">
        <v>2018</v>
      </c>
      <c r="H289" t="s">
        <v>396</v>
      </c>
      <c r="I289" t="s">
        <v>482</v>
      </c>
      <c r="J289" t="s">
        <v>1479</v>
      </c>
      <c r="K289" t="s">
        <v>556</v>
      </c>
      <c r="L289" t="s">
        <v>485</v>
      </c>
      <c r="M289" t="s">
        <v>486</v>
      </c>
      <c r="O289" t="s">
        <v>488</v>
      </c>
      <c r="T289" t="s">
        <v>1003</v>
      </c>
      <c r="U289" t="s">
        <v>1004</v>
      </c>
      <c r="V289">
        <v>39.67</v>
      </c>
      <c r="W289">
        <v>1</v>
      </c>
      <c r="X289">
        <v>8755</v>
      </c>
      <c r="Y289">
        <v>25</v>
      </c>
      <c r="Z289" t="s">
        <v>491</v>
      </c>
      <c r="AA289" t="s">
        <v>491</v>
      </c>
      <c r="AB289" t="s">
        <v>491</v>
      </c>
      <c r="AC289" t="s">
        <v>491</v>
      </c>
      <c r="AD289" t="s">
        <v>492</v>
      </c>
      <c r="AE289" t="s">
        <v>492</v>
      </c>
      <c r="AF289">
        <v>1</v>
      </c>
      <c r="AG289">
        <v>1</v>
      </c>
      <c r="AH289">
        <v>0</v>
      </c>
      <c r="AI289">
        <v>0</v>
      </c>
      <c r="AJ289">
        <v>0</v>
      </c>
      <c r="AK289">
        <v>0</v>
      </c>
      <c r="AL289">
        <v>0</v>
      </c>
      <c r="AM289">
        <v>1</v>
      </c>
      <c r="AN289" t="s">
        <v>493</v>
      </c>
      <c r="AO289" t="s">
        <v>494</v>
      </c>
      <c r="AP289">
        <v>7</v>
      </c>
      <c r="AQ289" t="s">
        <v>396</v>
      </c>
      <c r="AR289" t="s">
        <v>558</v>
      </c>
      <c r="AS289">
        <v>2</v>
      </c>
      <c r="AT289" t="s">
        <v>497</v>
      </c>
      <c r="AU289" t="s">
        <v>1477</v>
      </c>
      <c r="AV289" t="s">
        <v>498</v>
      </c>
      <c r="AW289" t="s">
        <v>1480</v>
      </c>
      <c r="AX289">
        <v>44.788802100000012</v>
      </c>
      <c r="AY289">
        <v>-68.75790167000001</v>
      </c>
      <c r="AZ289">
        <v>10</v>
      </c>
      <c r="BA289" t="s">
        <v>548</v>
      </c>
      <c r="BB289" t="s">
        <v>501</v>
      </c>
      <c r="BC289">
        <v>3132133</v>
      </c>
      <c r="BD289">
        <v>4</v>
      </c>
      <c r="BE289" t="s">
        <v>502</v>
      </c>
      <c r="BF289" t="s">
        <v>503</v>
      </c>
      <c r="BG289" t="s">
        <v>504</v>
      </c>
      <c r="BH289" t="s">
        <v>560</v>
      </c>
      <c r="BI289">
        <v>314561</v>
      </c>
      <c r="BJ289">
        <v>0.05</v>
      </c>
    </row>
    <row r="290" spans="1:62" x14ac:dyDescent="0.35">
      <c r="A290" t="s">
        <v>1001</v>
      </c>
      <c r="B290" t="s">
        <v>1481</v>
      </c>
      <c r="C290" s="292">
        <v>43231</v>
      </c>
      <c r="D290" t="s">
        <v>479</v>
      </c>
      <c r="E290" t="s">
        <v>549</v>
      </c>
      <c r="F290" t="s">
        <v>562</v>
      </c>
      <c r="G290">
        <v>2018</v>
      </c>
      <c r="H290" t="s">
        <v>396</v>
      </c>
      <c r="I290" t="s">
        <v>482</v>
      </c>
      <c r="J290" t="s">
        <v>629</v>
      </c>
      <c r="K290" t="s">
        <v>556</v>
      </c>
      <c r="L290" t="s">
        <v>485</v>
      </c>
      <c r="M290" t="s">
        <v>486</v>
      </c>
      <c r="O290" t="s">
        <v>613</v>
      </c>
      <c r="T290" t="s">
        <v>1003</v>
      </c>
      <c r="U290" t="s">
        <v>1004</v>
      </c>
      <c r="V290">
        <v>39.04</v>
      </c>
      <c r="W290">
        <v>1</v>
      </c>
      <c r="X290">
        <v>14970</v>
      </c>
      <c r="Y290">
        <v>25</v>
      </c>
      <c r="Z290" t="s">
        <v>491</v>
      </c>
      <c r="AA290" t="s">
        <v>491</v>
      </c>
      <c r="AB290" t="s">
        <v>491</v>
      </c>
      <c r="AC290" t="s">
        <v>491</v>
      </c>
      <c r="AD290" t="s">
        <v>492</v>
      </c>
      <c r="AE290" t="s">
        <v>492</v>
      </c>
      <c r="AF290">
        <v>1</v>
      </c>
      <c r="AG290">
        <v>1</v>
      </c>
      <c r="AH290">
        <v>0</v>
      </c>
      <c r="AI290">
        <v>0</v>
      </c>
      <c r="AJ290">
        <v>0</v>
      </c>
      <c r="AK290">
        <v>0</v>
      </c>
      <c r="AL290">
        <v>0</v>
      </c>
      <c r="AM290">
        <v>1</v>
      </c>
      <c r="AN290" t="s">
        <v>493</v>
      </c>
      <c r="AO290" t="s">
        <v>494</v>
      </c>
      <c r="AP290">
        <v>13</v>
      </c>
      <c r="AQ290" t="s">
        <v>396</v>
      </c>
      <c r="AR290" t="s">
        <v>558</v>
      </c>
      <c r="AS290">
        <v>6</v>
      </c>
      <c r="AT290" t="s">
        <v>497</v>
      </c>
      <c r="AU290" t="s">
        <v>1481</v>
      </c>
      <c r="AV290" t="s">
        <v>498</v>
      </c>
      <c r="AW290" t="s">
        <v>1482</v>
      </c>
      <c r="AX290">
        <v>44.795113239999999</v>
      </c>
      <c r="AY290">
        <v>-68.76670077</v>
      </c>
      <c r="AZ290">
        <v>5</v>
      </c>
      <c r="BA290" t="s">
        <v>597</v>
      </c>
      <c r="BB290" t="s">
        <v>501</v>
      </c>
      <c r="BC290">
        <v>3111002</v>
      </c>
      <c r="BD290">
        <v>4</v>
      </c>
      <c r="BE290" t="s">
        <v>502</v>
      </c>
      <c r="BF290" t="s">
        <v>503</v>
      </c>
      <c r="BG290" t="s">
        <v>504</v>
      </c>
      <c r="BH290" t="s">
        <v>560</v>
      </c>
      <c r="BI290">
        <v>314662</v>
      </c>
      <c r="BJ290">
        <v>0.04</v>
      </c>
    </row>
    <row r="291" spans="1:62" x14ac:dyDescent="0.35">
      <c r="A291" t="s">
        <v>1001</v>
      </c>
      <c r="B291" t="s">
        <v>1483</v>
      </c>
      <c r="C291" s="292">
        <v>44571</v>
      </c>
      <c r="D291" t="s">
        <v>479</v>
      </c>
      <c r="E291" t="s">
        <v>523</v>
      </c>
      <c r="F291" t="s">
        <v>1484</v>
      </c>
      <c r="G291">
        <v>2022</v>
      </c>
      <c r="H291" t="s">
        <v>396</v>
      </c>
      <c r="I291" t="s">
        <v>532</v>
      </c>
      <c r="J291" t="s">
        <v>483</v>
      </c>
      <c r="K291" t="s">
        <v>525</v>
      </c>
      <c r="L291" t="s">
        <v>485</v>
      </c>
      <c r="M291" t="s">
        <v>486</v>
      </c>
      <c r="N291" t="s">
        <v>487</v>
      </c>
      <c r="O291" t="s">
        <v>630</v>
      </c>
      <c r="Q291" t="s">
        <v>488</v>
      </c>
      <c r="S291">
        <v>39767</v>
      </c>
      <c r="T291" t="s">
        <v>1003</v>
      </c>
      <c r="U291" t="s">
        <v>1004</v>
      </c>
      <c r="V291">
        <v>39.58</v>
      </c>
      <c r="W291">
        <v>1</v>
      </c>
      <c r="X291">
        <v>9501</v>
      </c>
      <c r="Z291" t="s">
        <v>491</v>
      </c>
      <c r="AA291" t="s">
        <v>491</v>
      </c>
      <c r="AB291" t="s">
        <v>491</v>
      </c>
      <c r="AC291" t="s">
        <v>491</v>
      </c>
      <c r="AD291" t="s">
        <v>492</v>
      </c>
      <c r="AE291" t="s">
        <v>492</v>
      </c>
      <c r="AF291">
        <v>2</v>
      </c>
      <c r="AG291">
        <v>3</v>
      </c>
      <c r="AH291">
        <v>0</v>
      </c>
      <c r="AI291">
        <v>0</v>
      </c>
      <c r="AJ291">
        <v>0</v>
      </c>
      <c r="AK291">
        <v>0</v>
      </c>
      <c r="AL291">
        <v>0</v>
      </c>
      <c r="AM291">
        <v>3</v>
      </c>
      <c r="AN291" t="s">
        <v>493</v>
      </c>
      <c r="AO291" t="s">
        <v>494</v>
      </c>
      <c r="AP291">
        <v>21</v>
      </c>
      <c r="AQ291" t="s">
        <v>795</v>
      </c>
      <c r="AR291" t="s">
        <v>496</v>
      </c>
      <c r="AS291">
        <v>2</v>
      </c>
      <c r="AT291" t="s">
        <v>497</v>
      </c>
      <c r="AU291" t="s">
        <v>1485</v>
      </c>
      <c r="AV291" t="s">
        <v>498</v>
      </c>
      <c r="AW291" t="s">
        <v>1486</v>
      </c>
      <c r="AX291">
        <v>44.789710600000006</v>
      </c>
      <c r="AY291">
        <v>-68.759029319999996</v>
      </c>
      <c r="AZ291">
        <v>1</v>
      </c>
      <c r="BA291" t="s">
        <v>514</v>
      </c>
      <c r="BB291" t="s">
        <v>501</v>
      </c>
      <c r="BC291">
        <v>3124231</v>
      </c>
      <c r="BD291">
        <v>4</v>
      </c>
      <c r="BE291" t="s">
        <v>502</v>
      </c>
      <c r="BF291" t="s">
        <v>503</v>
      </c>
      <c r="BG291" t="s">
        <v>504</v>
      </c>
      <c r="BH291" t="s">
        <v>505</v>
      </c>
      <c r="BI291">
        <v>317403</v>
      </c>
      <c r="BJ291">
        <v>0</v>
      </c>
    </row>
    <row r="292" spans="1:62" x14ac:dyDescent="0.35">
      <c r="A292" t="s">
        <v>1001</v>
      </c>
      <c r="B292" t="s">
        <v>1487</v>
      </c>
      <c r="C292" s="292">
        <v>44572</v>
      </c>
      <c r="D292" t="s">
        <v>479</v>
      </c>
      <c r="E292" t="s">
        <v>541</v>
      </c>
      <c r="F292" t="s">
        <v>1231</v>
      </c>
      <c r="G292">
        <v>2022</v>
      </c>
      <c r="H292" t="s">
        <v>724</v>
      </c>
      <c r="I292" t="s">
        <v>532</v>
      </c>
      <c r="J292" t="s">
        <v>483</v>
      </c>
      <c r="K292" t="s">
        <v>576</v>
      </c>
      <c r="L292" t="s">
        <v>485</v>
      </c>
      <c r="M292" t="s">
        <v>486</v>
      </c>
      <c r="O292" t="s">
        <v>564</v>
      </c>
      <c r="Q292" t="s">
        <v>488</v>
      </c>
      <c r="T292" t="s">
        <v>1005</v>
      </c>
      <c r="U292" t="s">
        <v>1006</v>
      </c>
      <c r="V292">
        <v>0.42</v>
      </c>
      <c r="W292">
        <v>1</v>
      </c>
      <c r="X292">
        <v>4387</v>
      </c>
      <c r="Y292">
        <v>25</v>
      </c>
      <c r="Z292" t="s">
        <v>491</v>
      </c>
      <c r="AA292" t="s">
        <v>491</v>
      </c>
      <c r="AB292" t="s">
        <v>491</v>
      </c>
      <c r="AC292" t="s">
        <v>491</v>
      </c>
      <c r="AD292" t="s">
        <v>492</v>
      </c>
      <c r="AE292" t="s">
        <v>492</v>
      </c>
      <c r="AF292">
        <v>2</v>
      </c>
      <c r="AG292">
        <v>2</v>
      </c>
      <c r="AH292">
        <v>0</v>
      </c>
      <c r="AI292">
        <v>0</v>
      </c>
      <c r="AJ292">
        <v>0</v>
      </c>
      <c r="AK292">
        <v>0</v>
      </c>
      <c r="AL292">
        <v>0</v>
      </c>
      <c r="AM292">
        <v>2</v>
      </c>
      <c r="AN292" t="s">
        <v>493</v>
      </c>
      <c r="AO292" t="s">
        <v>494</v>
      </c>
      <c r="AP292">
        <v>19</v>
      </c>
      <c r="AQ292" t="s">
        <v>396</v>
      </c>
      <c r="AR292" t="s">
        <v>558</v>
      </c>
      <c r="AS292">
        <v>3</v>
      </c>
      <c r="AT292" t="s">
        <v>497</v>
      </c>
      <c r="AU292" t="s">
        <v>1488</v>
      </c>
      <c r="AV292" t="s">
        <v>498</v>
      </c>
      <c r="AW292" t="s">
        <v>1489</v>
      </c>
      <c r="AX292">
        <v>44.78501086</v>
      </c>
      <c r="AY292">
        <v>-68.753138399999997</v>
      </c>
      <c r="AZ292">
        <v>1</v>
      </c>
      <c r="BA292" t="s">
        <v>514</v>
      </c>
      <c r="BB292" t="s">
        <v>501</v>
      </c>
      <c r="BC292">
        <v>3111272</v>
      </c>
      <c r="BD292">
        <v>4</v>
      </c>
      <c r="BE292" t="s">
        <v>502</v>
      </c>
      <c r="BF292" t="s">
        <v>503</v>
      </c>
      <c r="BG292" t="s">
        <v>504</v>
      </c>
      <c r="BH292" t="s">
        <v>560</v>
      </c>
      <c r="BI292">
        <v>317492</v>
      </c>
      <c r="BJ292">
        <v>0.03</v>
      </c>
    </row>
    <row r="293" spans="1:62" x14ac:dyDescent="0.35">
      <c r="A293" t="s">
        <v>1001</v>
      </c>
      <c r="B293" t="s">
        <v>1490</v>
      </c>
      <c r="C293" s="292">
        <v>44881</v>
      </c>
      <c r="D293" t="s">
        <v>479</v>
      </c>
      <c r="E293" t="s">
        <v>574</v>
      </c>
      <c r="F293" t="s">
        <v>1491</v>
      </c>
      <c r="G293">
        <v>2022</v>
      </c>
      <c r="H293" t="s">
        <v>724</v>
      </c>
      <c r="I293" t="s">
        <v>570</v>
      </c>
      <c r="J293" t="s">
        <v>510</v>
      </c>
      <c r="K293" t="s">
        <v>484</v>
      </c>
      <c r="L293" t="s">
        <v>526</v>
      </c>
      <c r="M293" t="s">
        <v>665</v>
      </c>
      <c r="N293" t="s">
        <v>487</v>
      </c>
      <c r="O293" t="s">
        <v>496</v>
      </c>
      <c r="Q293" t="s">
        <v>488</v>
      </c>
      <c r="S293">
        <v>39685</v>
      </c>
      <c r="T293" t="s">
        <v>1003</v>
      </c>
      <c r="U293" t="s">
        <v>1004</v>
      </c>
      <c r="V293">
        <v>39.08</v>
      </c>
      <c r="W293">
        <v>1</v>
      </c>
      <c r="X293">
        <v>23788.5</v>
      </c>
      <c r="Z293" t="s">
        <v>491</v>
      </c>
      <c r="AA293" t="s">
        <v>491</v>
      </c>
      <c r="AC293" t="s">
        <v>491</v>
      </c>
      <c r="AD293" t="s">
        <v>492</v>
      </c>
      <c r="AE293" t="s">
        <v>492</v>
      </c>
      <c r="AF293">
        <v>2</v>
      </c>
      <c r="AG293">
        <v>2</v>
      </c>
      <c r="AH293">
        <v>0</v>
      </c>
      <c r="AI293">
        <v>0</v>
      </c>
      <c r="AJ293">
        <v>0</v>
      </c>
      <c r="AK293">
        <v>0</v>
      </c>
      <c r="AL293">
        <v>0</v>
      </c>
      <c r="AM293">
        <v>1</v>
      </c>
      <c r="AN293" t="s">
        <v>493</v>
      </c>
      <c r="AO293" t="s">
        <v>494</v>
      </c>
      <c r="AP293">
        <v>17</v>
      </c>
      <c r="AQ293" t="s">
        <v>495</v>
      </c>
      <c r="AR293" t="s">
        <v>496</v>
      </c>
      <c r="AS293">
        <v>4</v>
      </c>
      <c r="AT293" t="s">
        <v>497</v>
      </c>
      <c r="AU293" t="s">
        <v>1490</v>
      </c>
      <c r="AV293" t="s">
        <v>498</v>
      </c>
      <c r="AW293" t="s">
        <v>1492</v>
      </c>
      <c r="AX293">
        <v>44.794701119999999</v>
      </c>
      <c r="AY293">
        <v>-68.766163859999992</v>
      </c>
      <c r="AZ293">
        <v>11</v>
      </c>
      <c r="BA293" t="s">
        <v>551</v>
      </c>
      <c r="BB293" t="s">
        <v>501</v>
      </c>
      <c r="BC293">
        <v>3111001</v>
      </c>
      <c r="BD293">
        <v>4</v>
      </c>
      <c r="BE293" t="s">
        <v>502</v>
      </c>
      <c r="BF293" t="s">
        <v>503</v>
      </c>
      <c r="BG293" t="s">
        <v>504</v>
      </c>
      <c r="BH293" t="s">
        <v>505</v>
      </c>
      <c r="BI293">
        <v>319828</v>
      </c>
      <c r="BJ293">
        <v>0</v>
      </c>
    </row>
    <row r="294" spans="1:62" x14ac:dyDescent="0.35">
      <c r="A294" t="s">
        <v>1001</v>
      </c>
      <c r="B294" t="s">
        <v>1493</v>
      </c>
      <c r="C294" s="292">
        <v>44679</v>
      </c>
      <c r="D294" t="s">
        <v>479</v>
      </c>
      <c r="E294" t="s">
        <v>516</v>
      </c>
      <c r="F294" t="s">
        <v>1494</v>
      </c>
      <c r="G294">
        <v>2022</v>
      </c>
      <c r="H294" t="s">
        <v>396</v>
      </c>
      <c r="I294" t="s">
        <v>482</v>
      </c>
      <c r="J294" t="s">
        <v>510</v>
      </c>
      <c r="K294" t="s">
        <v>484</v>
      </c>
      <c r="L294" t="s">
        <v>526</v>
      </c>
      <c r="M294" t="s">
        <v>665</v>
      </c>
      <c r="N294" t="s">
        <v>487</v>
      </c>
      <c r="O294" t="s">
        <v>511</v>
      </c>
      <c r="Q294" t="s">
        <v>488</v>
      </c>
      <c r="S294">
        <v>39685</v>
      </c>
      <c r="T294" t="s">
        <v>1003</v>
      </c>
      <c r="U294" t="s">
        <v>1004</v>
      </c>
      <c r="V294">
        <v>39.08</v>
      </c>
      <c r="W294">
        <v>1</v>
      </c>
      <c r="X294">
        <v>23788.5</v>
      </c>
      <c r="Z294" t="s">
        <v>491</v>
      </c>
      <c r="AA294" t="s">
        <v>491</v>
      </c>
      <c r="AB294" t="s">
        <v>491</v>
      </c>
      <c r="AC294" t="s">
        <v>491</v>
      </c>
      <c r="AD294" t="s">
        <v>492</v>
      </c>
      <c r="AE294" t="s">
        <v>492</v>
      </c>
      <c r="AF294">
        <v>2</v>
      </c>
      <c r="AG294">
        <v>2</v>
      </c>
      <c r="AH294">
        <v>0</v>
      </c>
      <c r="AI294">
        <v>0</v>
      </c>
      <c r="AJ294">
        <v>0</v>
      </c>
      <c r="AK294">
        <v>0</v>
      </c>
      <c r="AL294">
        <v>0</v>
      </c>
      <c r="AM294">
        <v>2</v>
      </c>
      <c r="AN294" t="s">
        <v>493</v>
      </c>
      <c r="AO294" t="s">
        <v>494</v>
      </c>
      <c r="AP294">
        <v>15</v>
      </c>
      <c r="AQ294" t="s">
        <v>495</v>
      </c>
      <c r="AR294" t="s">
        <v>496</v>
      </c>
      <c r="AS294">
        <v>5</v>
      </c>
      <c r="AT294" t="s">
        <v>497</v>
      </c>
      <c r="AU294" t="s">
        <v>1493</v>
      </c>
      <c r="AV294" t="s">
        <v>498</v>
      </c>
      <c r="AW294" t="s">
        <v>1495</v>
      </c>
      <c r="AX294">
        <v>44.794701119999999</v>
      </c>
      <c r="AY294">
        <v>-68.766163859999992</v>
      </c>
      <c r="AZ294">
        <v>4</v>
      </c>
      <c r="BA294" t="s">
        <v>606</v>
      </c>
      <c r="BB294" t="s">
        <v>501</v>
      </c>
      <c r="BC294">
        <v>3111001</v>
      </c>
      <c r="BD294">
        <v>4</v>
      </c>
      <c r="BE294" t="s">
        <v>502</v>
      </c>
      <c r="BF294" t="s">
        <v>503</v>
      </c>
      <c r="BG294" t="s">
        <v>504</v>
      </c>
      <c r="BH294" t="s">
        <v>505</v>
      </c>
      <c r="BI294">
        <v>330761</v>
      </c>
      <c r="BJ294">
        <v>0</v>
      </c>
    </row>
    <row r="295" spans="1:62" x14ac:dyDescent="0.35">
      <c r="A295" t="s">
        <v>1001</v>
      </c>
      <c r="B295" t="s">
        <v>1496</v>
      </c>
      <c r="C295" s="292">
        <v>44664</v>
      </c>
      <c r="D295" t="s">
        <v>479</v>
      </c>
      <c r="E295" t="s">
        <v>574</v>
      </c>
      <c r="F295" t="s">
        <v>1458</v>
      </c>
      <c r="G295">
        <v>2022</v>
      </c>
      <c r="H295" t="s">
        <v>396</v>
      </c>
      <c r="I295" t="s">
        <v>482</v>
      </c>
      <c r="J295" t="s">
        <v>510</v>
      </c>
      <c r="K295" t="s">
        <v>556</v>
      </c>
      <c r="L295" t="s">
        <v>485</v>
      </c>
      <c r="M295" t="s">
        <v>486</v>
      </c>
      <c r="O295" t="s">
        <v>511</v>
      </c>
      <c r="P295" t="s">
        <v>488</v>
      </c>
      <c r="Q295" t="s">
        <v>488</v>
      </c>
      <c r="T295" t="s">
        <v>1003</v>
      </c>
      <c r="U295" t="s">
        <v>1004</v>
      </c>
      <c r="V295">
        <v>39.89</v>
      </c>
      <c r="W295">
        <v>1</v>
      </c>
      <c r="X295">
        <v>9113</v>
      </c>
      <c r="Y295">
        <v>25</v>
      </c>
      <c r="Z295" t="s">
        <v>491</v>
      </c>
      <c r="AA295" t="s">
        <v>491</v>
      </c>
      <c r="AB295" t="s">
        <v>491</v>
      </c>
      <c r="AC295" t="s">
        <v>491</v>
      </c>
      <c r="AD295" t="s">
        <v>492</v>
      </c>
      <c r="AE295" t="s">
        <v>492</v>
      </c>
      <c r="AF295">
        <v>2</v>
      </c>
      <c r="AG295">
        <v>3</v>
      </c>
      <c r="AH295">
        <v>0</v>
      </c>
      <c r="AI295">
        <v>0</v>
      </c>
      <c r="AJ295">
        <v>0</v>
      </c>
      <c r="AK295">
        <v>0</v>
      </c>
      <c r="AL295">
        <v>0</v>
      </c>
      <c r="AM295">
        <v>3</v>
      </c>
      <c r="AN295" t="s">
        <v>493</v>
      </c>
      <c r="AO295" t="s">
        <v>494</v>
      </c>
      <c r="AP295">
        <v>10</v>
      </c>
      <c r="AQ295" t="s">
        <v>396</v>
      </c>
      <c r="AR295" t="s">
        <v>558</v>
      </c>
      <c r="AS295">
        <v>4</v>
      </c>
      <c r="AT295" t="s">
        <v>497</v>
      </c>
      <c r="AU295" t="s">
        <v>1496</v>
      </c>
      <c r="AV295" t="s">
        <v>498</v>
      </c>
      <c r="AW295" t="s">
        <v>1497</v>
      </c>
      <c r="AX295">
        <v>44.786284469999998</v>
      </c>
      <c r="AY295">
        <v>-68.754791650000001</v>
      </c>
      <c r="AZ295">
        <v>4</v>
      </c>
      <c r="BA295" t="s">
        <v>606</v>
      </c>
      <c r="BB295" t="s">
        <v>501</v>
      </c>
      <c r="BC295">
        <v>3129631</v>
      </c>
      <c r="BD295">
        <v>4</v>
      </c>
      <c r="BE295" t="s">
        <v>502</v>
      </c>
      <c r="BF295" t="s">
        <v>503</v>
      </c>
      <c r="BG295" t="s">
        <v>504</v>
      </c>
      <c r="BH295" t="s">
        <v>560</v>
      </c>
      <c r="BI295">
        <v>332865</v>
      </c>
      <c r="BJ295">
        <v>0.05</v>
      </c>
    </row>
    <row r="296" spans="1:62" x14ac:dyDescent="0.35">
      <c r="A296" t="s">
        <v>1001</v>
      </c>
      <c r="B296" t="s">
        <v>1498</v>
      </c>
      <c r="C296" s="292">
        <v>44813</v>
      </c>
      <c r="D296" t="s">
        <v>479</v>
      </c>
      <c r="E296" t="s">
        <v>549</v>
      </c>
      <c r="F296" t="s">
        <v>1499</v>
      </c>
      <c r="G296">
        <v>2022</v>
      </c>
      <c r="H296" t="s">
        <v>396</v>
      </c>
      <c r="I296" t="s">
        <v>482</v>
      </c>
      <c r="J296" t="s">
        <v>510</v>
      </c>
      <c r="K296" t="s">
        <v>556</v>
      </c>
      <c r="L296" t="s">
        <v>485</v>
      </c>
      <c r="M296" t="s">
        <v>486</v>
      </c>
      <c r="N296" t="s">
        <v>487</v>
      </c>
      <c r="O296" t="s">
        <v>511</v>
      </c>
      <c r="Q296" t="s">
        <v>488</v>
      </c>
      <c r="T296" t="s">
        <v>1003</v>
      </c>
      <c r="U296" t="s">
        <v>1004</v>
      </c>
      <c r="V296">
        <v>39.89</v>
      </c>
      <c r="W296">
        <v>1</v>
      </c>
      <c r="X296">
        <v>9113</v>
      </c>
      <c r="Y296">
        <v>25</v>
      </c>
      <c r="Z296" t="s">
        <v>491</v>
      </c>
      <c r="AA296" t="s">
        <v>491</v>
      </c>
      <c r="AC296" t="s">
        <v>491</v>
      </c>
      <c r="AD296" t="s">
        <v>492</v>
      </c>
      <c r="AE296" t="s">
        <v>492</v>
      </c>
      <c r="AF296">
        <v>2</v>
      </c>
      <c r="AG296">
        <v>2</v>
      </c>
      <c r="AH296">
        <v>0</v>
      </c>
      <c r="AI296">
        <v>0</v>
      </c>
      <c r="AJ296">
        <v>0</v>
      </c>
      <c r="AK296">
        <v>0</v>
      </c>
      <c r="AL296">
        <v>0</v>
      </c>
      <c r="AM296">
        <v>2</v>
      </c>
      <c r="AN296" t="s">
        <v>493</v>
      </c>
      <c r="AO296" t="s">
        <v>494</v>
      </c>
      <c r="AP296">
        <v>9</v>
      </c>
      <c r="AQ296" t="s">
        <v>795</v>
      </c>
      <c r="AR296" t="s">
        <v>558</v>
      </c>
      <c r="AS296">
        <v>6</v>
      </c>
      <c r="AT296" t="s">
        <v>497</v>
      </c>
      <c r="AU296" t="s">
        <v>1498</v>
      </c>
      <c r="AV296" t="s">
        <v>498</v>
      </c>
      <c r="AW296" t="s">
        <v>1500</v>
      </c>
      <c r="AX296">
        <v>44.786270000000002</v>
      </c>
      <c r="AY296">
        <v>-68.754779999999997</v>
      </c>
      <c r="AZ296">
        <v>9</v>
      </c>
      <c r="BA296" t="s">
        <v>601</v>
      </c>
      <c r="BB296" t="s">
        <v>501</v>
      </c>
      <c r="BC296">
        <v>3129631</v>
      </c>
      <c r="BD296">
        <v>4</v>
      </c>
      <c r="BE296" t="s">
        <v>502</v>
      </c>
      <c r="BF296" t="s">
        <v>503</v>
      </c>
      <c r="BG296" t="s">
        <v>504</v>
      </c>
      <c r="BH296" t="s">
        <v>560</v>
      </c>
      <c r="BI296">
        <v>333413</v>
      </c>
      <c r="BJ296">
        <v>0.05</v>
      </c>
    </row>
    <row r="297" spans="1:62" x14ac:dyDescent="0.35">
      <c r="A297" t="s">
        <v>1001</v>
      </c>
      <c r="B297" t="s">
        <v>1501</v>
      </c>
      <c r="C297" s="292">
        <v>44811</v>
      </c>
      <c r="D297" t="s">
        <v>479</v>
      </c>
      <c r="E297" t="s">
        <v>574</v>
      </c>
      <c r="F297" t="s">
        <v>1051</v>
      </c>
      <c r="G297">
        <v>2022</v>
      </c>
      <c r="H297" t="s">
        <v>396</v>
      </c>
      <c r="I297" t="s">
        <v>482</v>
      </c>
      <c r="J297" t="s">
        <v>483</v>
      </c>
      <c r="K297" t="s">
        <v>484</v>
      </c>
      <c r="L297" t="s">
        <v>485</v>
      </c>
      <c r="M297" t="s">
        <v>486</v>
      </c>
      <c r="N297" t="s">
        <v>487</v>
      </c>
      <c r="O297" t="s">
        <v>553</v>
      </c>
      <c r="Q297" t="s">
        <v>488</v>
      </c>
      <c r="S297">
        <v>39685</v>
      </c>
      <c r="T297" t="s">
        <v>1003</v>
      </c>
      <c r="U297" t="s">
        <v>1004</v>
      </c>
      <c r="V297">
        <v>39.08</v>
      </c>
      <c r="W297">
        <v>1</v>
      </c>
      <c r="X297">
        <v>23788.5</v>
      </c>
      <c r="Z297" t="s">
        <v>491</v>
      </c>
      <c r="AA297" t="s">
        <v>491</v>
      </c>
      <c r="AC297" t="s">
        <v>491</v>
      </c>
      <c r="AD297" t="s">
        <v>492</v>
      </c>
      <c r="AE297" t="s">
        <v>492</v>
      </c>
      <c r="AF297">
        <v>2</v>
      </c>
      <c r="AG297">
        <v>2</v>
      </c>
      <c r="AH297">
        <v>0</v>
      </c>
      <c r="AI297">
        <v>0</v>
      </c>
      <c r="AJ297">
        <v>0</v>
      </c>
      <c r="AK297">
        <v>0</v>
      </c>
      <c r="AL297">
        <v>0</v>
      </c>
      <c r="AM297">
        <v>2</v>
      </c>
      <c r="AN297" t="s">
        <v>493</v>
      </c>
      <c r="AO297" t="s">
        <v>494</v>
      </c>
      <c r="AP297">
        <v>16</v>
      </c>
      <c r="AQ297" t="s">
        <v>495</v>
      </c>
      <c r="AR297" t="s">
        <v>496</v>
      </c>
      <c r="AS297">
        <v>4</v>
      </c>
      <c r="AT297" t="s">
        <v>497</v>
      </c>
      <c r="AU297" t="s">
        <v>1501</v>
      </c>
      <c r="AV297" t="s">
        <v>498</v>
      </c>
      <c r="AW297" t="s">
        <v>1502</v>
      </c>
      <c r="AX297">
        <v>44.794701119999999</v>
      </c>
      <c r="AY297">
        <v>-68.766163859999992</v>
      </c>
      <c r="AZ297">
        <v>9</v>
      </c>
      <c r="BA297" t="s">
        <v>601</v>
      </c>
      <c r="BB297" t="s">
        <v>501</v>
      </c>
      <c r="BC297">
        <v>3111001</v>
      </c>
      <c r="BD297">
        <v>4</v>
      </c>
      <c r="BE297" t="s">
        <v>502</v>
      </c>
      <c r="BF297" t="s">
        <v>503</v>
      </c>
      <c r="BG297" t="s">
        <v>504</v>
      </c>
      <c r="BH297" t="s">
        <v>505</v>
      </c>
      <c r="BI297">
        <v>333509</v>
      </c>
      <c r="BJ297">
        <v>0</v>
      </c>
    </row>
    <row r="298" spans="1:62" x14ac:dyDescent="0.35">
      <c r="A298" t="s">
        <v>1001</v>
      </c>
      <c r="B298" t="s">
        <v>1503</v>
      </c>
      <c r="C298" s="292">
        <v>44689</v>
      </c>
      <c r="D298" t="s">
        <v>479</v>
      </c>
      <c r="E298" t="s">
        <v>594</v>
      </c>
      <c r="F298" t="s">
        <v>761</v>
      </c>
      <c r="G298">
        <v>2022</v>
      </c>
      <c r="H298" t="s">
        <v>396</v>
      </c>
      <c r="I298" t="s">
        <v>482</v>
      </c>
      <c r="J298" t="s">
        <v>483</v>
      </c>
      <c r="K298" t="s">
        <v>484</v>
      </c>
      <c r="L298" t="s">
        <v>485</v>
      </c>
      <c r="M298" t="s">
        <v>486</v>
      </c>
      <c r="N298" t="s">
        <v>487</v>
      </c>
      <c r="O298" t="s">
        <v>518</v>
      </c>
      <c r="P298" t="s">
        <v>609</v>
      </c>
      <c r="Q298" t="s">
        <v>488</v>
      </c>
      <c r="S298">
        <v>39685</v>
      </c>
      <c r="T298" t="s">
        <v>1003</v>
      </c>
      <c r="U298" t="s">
        <v>1004</v>
      </c>
      <c r="V298">
        <v>39.08</v>
      </c>
      <c r="W298">
        <v>1</v>
      </c>
      <c r="X298">
        <v>23788.5</v>
      </c>
      <c r="Z298" t="s">
        <v>491</v>
      </c>
      <c r="AA298" t="s">
        <v>491</v>
      </c>
      <c r="AB298" t="s">
        <v>491</v>
      </c>
      <c r="AC298" t="s">
        <v>491</v>
      </c>
      <c r="AD298" t="s">
        <v>492</v>
      </c>
      <c r="AE298" t="s">
        <v>492</v>
      </c>
      <c r="AF298">
        <v>2</v>
      </c>
      <c r="AG298">
        <v>2</v>
      </c>
      <c r="AH298">
        <v>0</v>
      </c>
      <c r="AI298">
        <v>0</v>
      </c>
      <c r="AJ298">
        <v>0</v>
      </c>
      <c r="AK298">
        <v>0</v>
      </c>
      <c r="AL298">
        <v>0</v>
      </c>
      <c r="AM298">
        <v>2</v>
      </c>
      <c r="AN298" t="s">
        <v>493</v>
      </c>
      <c r="AO298" t="s">
        <v>494</v>
      </c>
      <c r="AP298">
        <v>8</v>
      </c>
      <c r="AQ298" t="s">
        <v>495</v>
      </c>
      <c r="AR298" t="s">
        <v>496</v>
      </c>
      <c r="AS298">
        <v>1</v>
      </c>
      <c r="AT298" t="s">
        <v>497</v>
      </c>
      <c r="AU298" t="s">
        <v>1503</v>
      </c>
      <c r="AV298" t="s">
        <v>498</v>
      </c>
      <c r="AW298" t="s">
        <v>1504</v>
      </c>
      <c r="AX298">
        <v>44.794701119999999</v>
      </c>
      <c r="AY298">
        <v>-68.766163859999992</v>
      </c>
      <c r="AZ298">
        <v>5</v>
      </c>
      <c r="BA298" t="s">
        <v>597</v>
      </c>
      <c r="BB298" t="s">
        <v>501</v>
      </c>
      <c r="BC298">
        <v>3111001</v>
      </c>
      <c r="BD298">
        <v>4</v>
      </c>
      <c r="BE298" t="s">
        <v>502</v>
      </c>
      <c r="BF298" t="s">
        <v>503</v>
      </c>
      <c r="BG298" t="s">
        <v>504</v>
      </c>
      <c r="BH298" t="s">
        <v>505</v>
      </c>
      <c r="BI298">
        <v>333908</v>
      </c>
      <c r="BJ298">
        <v>0</v>
      </c>
    </row>
    <row r="299" spans="1:62" x14ac:dyDescent="0.35">
      <c r="A299" t="s">
        <v>1001</v>
      </c>
      <c r="B299" t="s">
        <v>1505</v>
      </c>
      <c r="C299" s="292">
        <v>43199</v>
      </c>
      <c r="D299" t="s">
        <v>479</v>
      </c>
      <c r="E299" t="s">
        <v>523</v>
      </c>
      <c r="F299" t="s">
        <v>640</v>
      </c>
      <c r="G299">
        <v>2018</v>
      </c>
      <c r="H299" t="s">
        <v>396</v>
      </c>
      <c r="I299" t="s">
        <v>482</v>
      </c>
      <c r="J299" t="s">
        <v>629</v>
      </c>
      <c r="K299" t="s">
        <v>770</v>
      </c>
      <c r="L299" t="s">
        <v>485</v>
      </c>
      <c r="M299" t="s">
        <v>486</v>
      </c>
      <c r="N299" t="s">
        <v>487</v>
      </c>
      <c r="O299" t="s">
        <v>653</v>
      </c>
      <c r="P299" t="s">
        <v>609</v>
      </c>
      <c r="Q299" t="s">
        <v>488</v>
      </c>
      <c r="T299" t="s">
        <v>1003</v>
      </c>
      <c r="U299" t="s">
        <v>1004</v>
      </c>
      <c r="V299">
        <v>39.090000000000003</v>
      </c>
      <c r="W299">
        <v>1</v>
      </c>
      <c r="X299">
        <v>8494</v>
      </c>
      <c r="Y299">
        <v>25</v>
      </c>
      <c r="Z299" t="s">
        <v>491</v>
      </c>
      <c r="AA299" t="s">
        <v>491</v>
      </c>
      <c r="AB299" t="s">
        <v>491</v>
      </c>
      <c r="AC299" t="s">
        <v>491</v>
      </c>
      <c r="AD299" t="s">
        <v>492</v>
      </c>
      <c r="AE299" t="s">
        <v>492</v>
      </c>
      <c r="AF299">
        <v>2</v>
      </c>
      <c r="AG299">
        <v>3</v>
      </c>
      <c r="AH299">
        <v>1</v>
      </c>
      <c r="AI299">
        <v>0</v>
      </c>
      <c r="AJ299">
        <v>0</v>
      </c>
      <c r="AK299">
        <v>0</v>
      </c>
      <c r="AL299">
        <v>1</v>
      </c>
      <c r="AM299">
        <v>2</v>
      </c>
      <c r="AN299" t="s">
        <v>519</v>
      </c>
      <c r="AO299" t="s">
        <v>494</v>
      </c>
      <c r="AP299">
        <v>16</v>
      </c>
      <c r="AQ299" t="s">
        <v>495</v>
      </c>
      <c r="AR299" t="s">
        <v>558</v>
      </c>
      <c r="AS299">
        <v>2</v>
      </c>
      <c r="AT299" t="s">
        <v>497</v>
      </c>
      <c r="AU299" t="s">
        <v>1505</v>
      </c>
      <c r="AV299" t="s">
        <v>498</v>
      </c>
      <c r="AW299" t="s">
        <v>1506</v>
      </c>
      <c r="AX299">
        <v>44.794599910000002</v>
      </c>
      <c r="AY299">
        <v>-68.765946400000004</v>
      </c>
      <c r="AZ299">
        <v>4</v>
      </c>
      <c r="BA299" t="s">
        <v>606</v>
      </c>
      <c r="BB299" t="s">
        <v>501</v>
      </c>
      <c r="BC299">
        <v>3119550</v>
      </c>
      <c r="BD299">
        <v>4</v>
      </c>
      <c r="BE299" t="s">
        <v>502</v>
      </c>
      <c r="BF299" t="s">
        <v>503</v>
      </c>
      <c r="BG299" t="s">
        <v>504</v>
      </c>
      <c r="BH299" t="s">
        <v>560</v>
      </c>
      <c r="BI299">
        <v>335631</v>
      </c>
      <c r="BJ299">
        <v>0.01</v>
      </c>
    </row>
  </sheetData>
  <pageMargins left="0.75" right="0.75" top="1" bottom="1" header="0.5" footer="0.5"/>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A464A-8D12-4AB5-8A49-F5EA91C50422}">
  <sheetPr>
    <tabColor theme="9" tint="0.39997558519241921"/>
  </sheetPr>
  <dimension ref="A1:BB109"/>
  <sheetViews>
    <sheetView workbookViewId="0"/>
  </sheetViews>
  <sheetFormatPr defaultColWidth="9.1796875" defaultRowHeight="14.5" x14ac:dyDescent="0.35"/>
  <cols>
    <col min="1" max="1" width="28.54296875" style="5" customWidth="1"/>
    <col min="2" max="2" width="27.453125" style="5" customWidth="1"/>
    <col min="3" max="3" width="28.81640625" style="5" customWidth="1"/>
    <col min="4" max="4" width="30.81640625" style="5" customWidth="1"/>
    <col min="5" max="16384" width="9.1796875" style="5"/>
  </cols>
  <sheetData>
    <row r="1" spans="1:10" ht="20" thickBot="1" x14ac:dyDescent="0.5">
      <c r="A1" s="94" t="s">
        <v>9</v>
      </c>
    </row>
    <row r="2" spans="1:10" ht="15" thickTop="1" x14ac:dyDescent="0.35">
      <c r="A2" s="144" t="s">
        <v>237</v>
      </c>
      <c r="B2" s="144"/>
      <c r="C2" s="144"/>
      <c r="D2" s="144"/>
      <c r="E2" s="144"/>
      <c r="F2" s="144"/>
      <c r="G2" s="144"/>
    </row>
    <row r="3" spans="1:10" x14ac:dyDescent="0.35">
      <c r="A3" s="5" t="s">
        <v>203</v>
      </c>
    </row>
    <row r="4" spans="1:10" x14ac:dyDescent="0.35">
      <c r="A4" s="145" t="s">
        <v>344</v>
      </c>
      <c r="B4" s="144"/>
      <c r="C4" s="144"/>
      <c r="D4" s="144"/>
      <c r="E4" s="144"/>
      <c r="F4" s="144"/>
      <c r="G4" s="144"/>
      <c r="H4" s="144"/>
      <c r="I4" s="144"/>
      <c r="J4" s="144"/>
    </row>
    <row r="5" spans="1:10" x14ac:dyDescent="0.35">
      <c r="A5" s="38" t="s">
        <v>203</v>
      </c>
    </row>
    <row r="6" spans="1:10" x14ac:dyDescent="0.35">
      <c r="A6" s="95" t="s">
        <v>238</v>
      </c>
    </row>
    <row r="7" spans="1:10" x14ac:dyDescent="0.35">
      <c r="A7" s="113" t="s">
        <v>31</v>
      </c>
      <c r="B7" s="113" t="s">
        <v>345</v>
      </c>
    </row>
    <row r="8" spans="1:10" x14ac:dyDescent="0.35">
      <c r="A8" s="35" t="s">
        <v>184</v>
      </c>
      <c r="B8" s="39">
        <f>'Parameter Values'!B24</f>
        <v>20.100000000000001</v>
      </c>
    </row>
    <row r="9" spans="1:10" x14ac:dyDescent="0.35">
      <c r="A9" s="35" t="s">
        <v>180</v>
      </c>
      <c r="B9" s="39">
        <f>'Parameter Values'!B25</f>
        <v>34.6</v>
      </c>
    </row>
    <row r="10" spans="1:10" x14ac:dyDescent="0.35">
      <c r="A10" s="35" t="s">
        <v>181</v>
      </c>
      <c r="B10" s="39">
        <f>'Parameter Values'!B26</f>
        <v>21.8</v>
      </c>
    </row>
    <row r="11" spans="1:10" ht="29" x14ac:dyDescent="0.35">
      <c r="A11" s="35" t="s">
        <v>182</v>
      </c>
      <c r="B11" s="397">
        <f>'Parameter Values'!B28</f>
        <v>40.200000000000003</v>
      </c>
    </row>
    <row r="12" spans="1:10" x14ac:dyDescent="0.35">
      <c r="A12" s="35" t="s">
        <v>183</v>
      </c>
      <c r="B12" s="39"/>
    </row>
    <row r="13" spans="1:10" x14ac:dyDescent="0.35">
      <c r="A13" s="35" t="s">
        <v>34</v>
      </c>
      <c r="B13" s="39">
        <f>'Parameter Values'!B31</f>
        <v>37.200000000000003</v>
      </c>
    </row>
    <row r="14" spans="1:10" x14ac:dyDescent="0.35">
      <c r="A14" s="35" t="s">
        <v>35</v>
      </c>
      <c r="B14" s="39">
        <f>'Parameter Values'!B32</f>
        <v>40.299999999999997</v>
      </c>
    </row>
    <row r="15" spans="1:10" x14ac:dyDescent="0.35">
      <c r="A15" s="35" t="s">
        <v>36</v>
      </c>
      <c r="B15" s="39">
        <f>'Parameter Values'!B33</f>
        <v>59.5</v>
      </c>
    </row>
    <row r="16" spans="1:10" x14ac:dyDescent="0.35">
      <c r="A16" s="35" t="s">
        <v>37</v>
      </c>
      <c r="B16" s="39">
        <f>'Parameter Values'!B34</f>
        <v>54.2</v>
      </c>
    </row>
    <row r="17" spans="1:54" x14ac:dyDescent="0.35">
      <c r="A17" s="38" t="s">
        <v>203</v>
      </c>
    </row>
    <row r="18" spans="1:54" ht="15" thickBot="1" x14ac:dyDescent="0.4">
      <c r="A18" s="95" t="s">
        <v>240</v>
      </c>
    </row>
    <row r="19" spans="1:54" x14ac:dyDescent="0.35">
      <c r="A19" s="104" t="s">
        <v>4</v>
      </c>
      <c r="B19" s="105" t="s">
        <v>173</v>
      </c>
      <c r="C19" s="105" t="s">
        <v>174</v>
      </c>
      <c r="D19" s="111" t="s">
        <v>167</v>
      </c>
      <c r="G19" s="10" t="s">
        <v>159</v>
      </c>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2"/>
    </row>
    <row r="20" spans="1:54" x14ac:dyDescent="0.35">
      <c r="A20" s="6">
        <f>'Project Information'!$B$9</f>
        <v>2033</v>
      </c>
      <c r="B20" s="22">
        <v>0</v>
      </c>
      <c r="C20" s="22">
        <v>0</v>
      </c>
      <c r="D20" s="26">
        <f>B20-C20</f>
        <v>0</v>
      </c>
      <c r="G20" s="13"/>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s="14"/>
    </row>
    <row r="21" spans="1:54" x14ac:dyDescent="0.35">
      <c r="A21" s="1">
        <f>IF(A20&lt;'Project Information'!B$11,A20+1,"")</f>
        <v>2034</v>
      </c>
      <c r="B21" s="22">
        <v>0</v>
      </c>
      <c r="C21" s="22">
        <v>0</v>
      </c>
      <c r="D21" s="8">
        <f t="shared" ref="D21:D49" si="0">B21-C21</f>
        <v>0</v>
      </c>
      <c r="G21" s="13"/>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s="14"/>
    </row>
    <row r="22" spans="1:54" x14ac:dyDescent="0.35">
      <c r="A22" s="1">
        <f>IF(A21&lt;'Project Information'!B$11,A21+1,"")</f>
        <v>2035</v>
      </c>
      <c r="B22" s="22">
        <v>0</v>
      </c>
      <c r="C22" s="22">
        <v>0</v>
      </c>
      <c r="D22" s="8">
        <f t="shared" si="0"/>
        <v>0</v>
      </c>
      <c r="G22" s="13"/>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s="14"/>
    </row>
    <row r="23" spans="1:54" x14ac:dyDescent="0.35">
      <c r="A23" s="1">
        <f>IF(A22&lt;'Project Information'!B$11,A22+1,"")</f>
        <v>2036</v>
      </c>
      <c r="B23" s="22">
        <v>0</v>
      </c>
      <c r="C23" s="22">
        <v>0</v>
      </c>
      <c r="D23" s="8">
        <f t="shared" si="0"/>
        <v>0</v>
      </c>
      <c r="G23" s="1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s="14"/>
    </row>
    <row r="24" spans="1:54" x14ac:dyDescent="0.35">
      <c r="A24" s="1">
        <f>IF(A23&lt;'Project Information'!B$11,A23+1,"")</f>
        <v>2037</v>
      </c>
      <c r="B24" s="22">
        <v>0</v>
      </c>
      <c r="C24" s="22">
        <v>0</v>
      </c>
      <c r="D24" s="8">
        <f t="shared" si="0"/>
        <v>0</v>
      </c>
      <c r="G24" s="13"/>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s="14"/>
    </row>
    <row r="25" spans="1:54" x14ac:dyDescent="0.35">
      <c r="A25" s="1">
        <f>IF(A24&lt;'Project Information'!B$11,A24+1,"")</f>
        <v>2038</v>
      </c>
      <c r="B25" s="22">
        <v>0</v>
      </c>
      <c r="C25" s="22">
        <v>0</v>
      </c>
      <c r="D25" s="8">
        <f t="shared" si="0"/>
        <v>0</v>
      </c>
      <c r="G25" s="13"/>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s="14"/>
    </row>
    <row r="26" spans="1:54" x14ac:dyDescent="0.35">
      <c r="A26" s="1">
        <f>IF(A25&lt;'Project Information'!B$11,A25+1,"")</f>
        <v>2039</v>
      </c>
      <c r="B26" s="22">
        <v>0</v>
      </c>
      <c r="C26" s="22">
        <v>0</v>
      </c>
      <c r="D26" s="8">
        <f t="shared" si="0"/>
        <v>0</v>
      </c>
      <c r="G26" s="13"/>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s="14"/>
    </row>
    <row r="27" spans="1:54" x14ac:dyDescent="0.35">
      <c r="A27" s="1">
        <f>IF(A26&lt;'Project Information'!B$11,A26+1,"")</f>
        <v>2040</v>
      </c>
      <c r="B27" s="22">
        <v>0</v>
      </c>
      <c r="C27" s="22">
        <v>0</v>
      </c>
      <c r="D27" s="8">
        <f t="shared" si="0"/>
        <v>0</v>
      </c>
      <c r="G27" s="13"/>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s="14"/>
    </row>
    <row r="28" spans="1:54" x14ac:dyDescent="0.35">
      <c r="A28" s="1">
        <f>IF(A27&lt;'Project Information'!B$11,A27+1,"")</f>
        <v>2041</v>
      </c>
      <c r="B28" s="22">
        <v>0</v>
      </c>
      <c r="C28" s="22">
        <v>0</v>
      </c>
      <c r="D28" s="8">
        <f t="shared" si="0"/>
        <v>0</v>
      </c>
      <c r="G28" s="13"/>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s="14"/>
    </row>
    <row r="29" spans="1:54" x14ac:dyDescent="0.35">
      <c r="A29" s="1">
        <f>IF(A28&lt;'Project Information'!B$11,A28+1,"")</f>
        <v>2042</v>
      </c>
      <c r="B29" s="22">
        <v>0</v>
      </c>
      <c r="C29" s="22">
        <v>0</v>
      </c>
      <c r="D29" s="8">
        <f t="shared" si="0"/>
        <v>0</v>
      </c>
      <c r="G29" s="13"/>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s="14"/>
    </row>
    <row r="30" spans="1:54" x14ac:dyDescent="0.35">
      <c r="A30" s="1">
        <f>IF(A29&lt;'Project Information'!B$11,A29+1,"")</f>
        <v>2043</v>
      </c>
      <c r="B30" s="22">
        <v>0</v>
      </c>
      <c r="C30" s="22">
        <v>0</v>
      </c>
      <c r="D30" s="8">
        <f t="shared" si="0"/>
        <v>0</v>
      </c>
      <c r="G30" s="13"/>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s="14"/>
    </row>
    <row r="31" spans="1:54" x14ac:dyDescent="0.35">
      <c r="A31" s="1">
        <f>IF(A30&lt;'Project Information'!B$11,A30+1,"")</f>
        <v>2044</v>
      </c>
      <c r="B31" s="22">
        <v>0</v>
      </c>
      <c r="C31" s="22">
        <v>0</v>
      </c>
      <c r="D31" s="8">
        <f t="shared" si="0"/>
        <v>0</v>
      </c>
      <c r="G31" s="1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s="14"/>
    </row>
    <row r="32" spans="1:54" x14ac:dyDescent="0.35">
      <c r="A32" s="1">
        <f>IF(A31&lt;'Project Information'!B$11,A31+1,"")</f>
        <v>2045</v>
      </c>
      <c r="B32" s="22">
        <v>0</v>
      </c>
      <c r="C32" s="22">
        <v>0</v>
      </c>
      <c r="D32" s="8">
        <f t="shared" si="0"/>
        <v>0</v>
      </c>
      <c r="G32" s="13"/>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s="14"/>
    </row>
    <row r="33" spans="1:54" x14ac:dyDescent="0.35">
      <c r="A33" s="1">
        <f>IF(A32&lt;'Project Information'!B$11,A32+1,"")</f>
        <v>2046</v>
      </c>
      <c r="B33" s="22">
        <v>0</v>
      </c>
      <c r="C33" s="22">
        <v>0</v>
      </c>
      <c r="D33" s="8">
        <f t="shared" si="0"/>
        <v>0</v>
      </c>
      <c r="G33" s="1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s="14"/>
    </row>
    <row r="34" spans="1:54" x14ac:dyDescent="0.35">
      <c r="A34" s="1">
        <f>IF(A33&lt;'Project Information'!B$11,A33+1,"")</f>
        <v>2047</v>
      </c>
      <c r="B34" s="22">
        <v>0</v>
      </c>
      <c r="C34" s="22">
        <v>0</v>
      </c>
      <c r="D34" s="8">
        <f t="shared" si="0"/>
        <v>0</v>
      </c>
      <c r="G34" s="13"/>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s="14"/>
    </row>
    <row r="35" spans="1:54" x14ac:dyDescent="0.35">
      <c r="A35" s="1">
        <f>IF(A34&lt;'Project Information'!B$11,A34+1,"")</f>
        <v>2048</v>
      </c>
      <c r="B35" s="22">
        <v>0</v>
      </c>
      <c r="C35" s="22">
        <v>0</v>
      </c>
      <c r="D35" s="8">
        <f t="shared" si="0"/>
        <v>0</v>
      </c>
      <c r="G35" s="13"/>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s="14"/>
    </row>
    <row r="36" spans="1:54" x14ac:dyDescent="0.35">
      <c r="A36" s="1">
        <f>IF(A35&lt;'Project Information'!B$11,A35+1,"")</f>
        <v>2049</v>
      </c>
      <c r="B36" s="22">
        <v>0</v>
      </c>
      <c r="C36" s="22">
        <v>0</v>
      </c>
      <c r="D36" s="8">
        <f t="shared" si="0"/>
        <v>0</v>
      </c>
      <c r="G36" s="13"/>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s="14"/>
    </row>
    <row r="37" spans="1:54" x14ac:dyDescent="0.35">
      <c r="A37" s="1">
        <f>IF(A36&lt;'Project Information'!B$11,A36+1,"")</f>
        <v>2050</v>
      </c>
      <c r="B37" s="22">
        <v>0</v>
      </c>
      <c r="C37" s="22">
        <v>0</v>
      </c>
      <c r="D37" s="8">
        <f t="shared" si="0"/>
        <v>0</v>
      </c>
      <c r="G37" s="13"/>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s="14"/>
    </row>
    <row r="38" spans="1:54" x14ac:dyDescent="0.35">
      <c r="A38" s="1">
        <f>IF(A37&lt;'Project Information'!B$11,A37+1,"")</f>
        <v>2051</v>
      </c>
      <c r="B38" s="22">
        <v>0</v>
      </c>
      <c r="C38" s="22">
        <v>0</v>
      </c>
      <c r="D38" s="8">
        <f t="shared" si="0"/>
        <v>0</v>
      </c>
      <c r="G38" s="13"/>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s="14"/>
    </row>
    <row r="39" spans="1:54" x14ac:dyDescent="0.35">
      <c r="A39" s="1">
        <f>IF(A38&lt;'Project Information'!B$11,A38+1,"")</f>
        <v>2052</v>
      </c>
      <c r="B39" s="22">
        <v>0</v>
      </c>
      <c r="C39" s="22">
        <v>0</v>
      </c>
      <c r="D39" s="8">
        <f t="shared" si="0"/>
        <v>0</v>
      </c>
      <c r="G39" s="13"/>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s="14"/>
    </row>
    <row r="40" spans="1:54" x14ac:dyDescent="0.35">
      <c r="A40" s="1" t="str">
        <f>IF(A39&lt;'Project Information'!B$11,A39+1,"")</f>
        <v/>
      </c>
      <c r="B40" s="22">
        <v>0</v>
      </c>
      <c r="C40" s="22">
        <v>0</v>
      </c>
      <c r="D40" s="8">
        <f t="shared" si="0"/>
        <v>0</v>
      </c>
      <c r="G40" s="13"/>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s="14"/>
    </row>
    <row r="41" spans="1:54" x14ac:dyDescent="0.35">
      <c r="A41" s="1" t="str">
        <f>IF(A40&lt;'Project Information'!B$11,A40+1,"")</f>
        <v/>
      </c>
      <c r="B41" s="22">
        <v>0</v>
      </c>
      <c r="C41" s="22">
        <v>0</v>
      </c>
      <c r="D41" s="8">
        <f t="shared" si="0"/>
        <v>0</v>
      </c>
      <c r="G41" s="13"/>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s="14"/>
    </row>
    <row r="42" spans="1:54" x14ac:dyDescent="0.35">
      <c r="A42" s="1" t="str">
        <f>IF(A41&lt;'Project Information'!B$11,A41+1,"")</f>
        <v/>
      </c>
      <c r="B42" s="22">
        <v>0</v>
      </c>
      <c r="C42" s="22">
        <v>0</v>
      </c>
      <c r="D42" s="8">
        <f t="shared" si="0"/>
        <v>0</v>
      </c>
      <c r="G42" s="13"/>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s="14"/>
    </row>
    <row r="43" spans="1:54" x14ac:dyDescent="0.35">
      <c r="A43" s="1" t="str">
        <f>IF(A42&lt;'Project Information'!B$11,A42+1,"")</f>
        <v/>
      </c>
      <c r="B43" s="22">
        <v>0</v>
      </c>
      <c r="C43" s="22">
        <v>0</v>
      </c>
      <c r="D43" s="8">
        <f t="shared" si="0"/>
        <v>0</v>
      </c>
      <c r="G43" s="1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s="14"/>
    </row>
    <row r="44" spans="1:54" x14ac:dyDescent="0.35">
      <c r="A44" s="1" t="str">
        <f>IF(A43&lt;'Project Information'!B$11,A43+1,"")</f>
        <v/>
      </c>
      <c r="B44" s="22">
        <v>0</v>
      </c>
      <c r="C44" s="22">
        <v>0</v>
      </c>
      <c r="D44" s="8">
        <f t="shared" si="0"/>
        <v>0</v>
      </c>
      <c r="G44" s="13"/>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s="14"/>
    </row>
    <row r="45" spans="1:54" x14ac:dyDescent="0.35">
      <c r="A45" s="1" t="str">
        <f>IF(A44&lt;'Project Information'!B$11,A44+1,"")</f>
        <v/>
      </c>
      <c r="B45" s="22">
        <v>0</v>
      </c>
      <c r="C45" s="22">
        <v>0</v>
      </c>
      <c r="D45" s="8">
        <f t="shared" si="0"/>
        <v>0</v>
      </c>
      <c r="G45" s="13"/>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s="14"/>
    </row>
    <row r="46" spans="1:54" x14ac:dyDescent="0.35">
      <c r="A46" s="1" t="str">
        <f>IF(A45&lt;'Project Information'!B$11,A45+1,"")</f>
        <v/>
      </c>
      <c r="B46" s="22">
        <v>0</v>
      </c>
      <c r="C46" s="22">
        <v>0</v>
      </c>
      <c r="D46" s="8">
        <f t="shared" si="0"/>
        <v>0</v>
      </c>
      <c r="G46" s="13"/>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s="14"/>
    </row>
    <row r="47" spans="1:54" x14ac:dyDescent="0.35">
      <c r="A47" s="1" t="str">
        <f>IF(A46&lt;'Project Information'!B$11,A46+1,"")</f>
        <v/>
      </c>
      <c r="B47" s="22">
        <v>0</v>
      </c>
      <c r="C47" s="22">
        <v>0</v>
      </c>
      <c r="D47" s="8">
        <f t="shared" si="0"/>
        <v>0</v>
      </c>
      <c r="G47" s="13"/>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s="14"/>
    </row>
    <row r="48" spans="1:54" x14ac:dyDescent="0.35">
      <c r="A48" s="1" t="str">
        <f>IF(A47&lt;'Project Information'!B$11,A47+1,"")</f>
        <v/>
      </c>
      <c r="B48" s="22">
        <v>0</v>
      </c>
      <c r="C48" s="22">
        <v>0</v>
      </c>
      <c r="D48" s="8">
        <f t="shared" si="0"/>
        <v>0</v>
      </c>
      <c r="G48" s="13"/>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s="14"/>
    </row>
    <row r="49" spans="1:54" x14ac:dyDescent="0.35">
      <c r="A49" s="1" t="str">
        <f>IF(A48&lt;'Project Information'!B$11,A48+1,"")</f>
        <v/>
      </c>
      <c r="B49" s="22">
        <v>0</v>
      </c>
      <c r="C49" s="22">
        <v>0</v>
      </c>
      <c r="D49" s="9">
        <f t="shared" si="0"/>
        <v>0</v>
      </c>
      <c r="G49" s="13"/>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s="14"/>
    </row>
    <row r="50" spans="1:54" x14ac:dyDescent="0.35">
      <c r="A50" s="31"/>
      <c r="B50" s="32"/>
      <c r="C50" s="32"/>
      <c r="D50" s="29"/>
      <c r="G50" s="13"/>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s="14"/>
    </row>
    <row r="51" spans="1:54" x14ac:dyDescent="0.35">
      <c r="B51" s="28"/>
      <c r="C51" s="28"/>
      <c r="D51" s="29"/>
      <c r="G51" s="13"/>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s="14"/>
    </row>
    <row r="52" spans="1:54" x14ac:dyDescent="0.35">
      <c r="B52" s="28"/>
      <c r="C52" s="28"/>
      <c r="D52" s="29"/>
      <c r="G52" s="13"/>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s="14"/>
    </row>
    <row r="53" spans="1:54" x14ac:dyDescent="0.35">
      <c r="B53" s="28"/>
      <c r="C53" s="28"/>
      <c r="D53" s="29"/>
      <c r="G53" s="1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s="14"/>
    </row>
    <row r="54" spans="1:54" x14ac:dyDescent="0.35">
      <c r="B54" s="28"/>
      <c r="C54" s="28"/>
      <c r="D54" s="29"/>
      <c r="G54" s="13"/>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s="14"/>
    </row>
    <row r="55" spans="1:54" x14ac:dyDescent="0.35">
      <c r="B55" s="28"/>
      <c r="C55" s="28"/>
      <c r="D55" s="29"/>
      <c r="G55" s="13"/>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s="14"/>
    </row>
    <row r="56" spans="1:54" x14ac:dyDescent="0.35">
      <c r="B56" s="28"/>
      <c r="C56" s="28"/>
      <c r="D56" s="29"/>
      <c r="G56" s="13"/>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s="14"/>
    </row>
    <row r="57" spans="1:54" x14ac:dyDescent="0.35">
      <c r="B57" s="28"/>
      <c r="C57" s="28"/>
      <c r="D57" s="29"/>
      <c r="G57" s="13"/>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s="14"/>
    </row>
    <row r="58" spans="1:54" x14ac:dyDescent="0.35">
      <c r="B58" s="28"/>
      <c r="C58" s="28"/>
      <c r="D58" s="29"/>
      <c r="G58" s="13"/>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s="14"/>
    </row>
    <row r="59" spans="1:54" x14ac:dyDescent="0.35">
      <c r="B59" s="28"/>
      <c r="C59" s="28"/>
      <c r="D59" s="29"/>
      <c r="G59" s="13"/>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s="14"/>
    </row>
    <row r="60" spans="1:54" x14ac:dyDescent="0.35">
      <c r="G60" s="13"/>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s="14"/>
    </row>
    <row r="61" spans="1:54" x14ac:dyDescent="0.35">
      <c r="G61" s="13"/>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s="14"/>
    </row>
    <row r="62" spans="1:54" x14ac:dyDescent="0.35">
      <c r="G62" s="13"/>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s="14"/>
    </row>
    <row r="63" spans="1:54" x14ac:dyDescent="0.35">
      <c r="G63" s="1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s="14"/>
    </row>
    <row r="64" spans="1:54" x14ac:dyDescent="0.35">
      <c r="G64" s="13"/>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s="14"/>
    </row>
    <row r="65" spans="7:54" x14ac:dyDescent="0.35">
      <c r="G65" s="13"/>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s="14"/>
    </row>
    <row r="66" spans="7:54" x14ac:dyDescent="0.35">
      <c r="G66" s="13"/>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s="14"/>
    </row>
    <row r="67" spans="7:54" x14ac:dyDescent="0.35">
      <c r="G67" s="13"/>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s="14"/>
    </row>
    <row r="68" spans="7:54" x14ac:dyDescent="0.35">
      <c r="G68" s="13"/>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s="14"/>
    </row>
    <row r="69" spans="7:54" x14ac:dyDescent="0.35">
      <c r="G69" s="13"/>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s="14"/>
    </row>
    <row r="70" spans="7:54" x14ac:dyDescent="0.35">
      <c r="G70" s="13"/>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s="14"/>
    </row>
    <row r="71" spans="7:54" x14ac:dyDescent="0.35">
      <c r="G71" s="13"/>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s="14"/>
    </row>
    <row r="72" spans="7:54" x14ac:dyDescent="0.35">
      <c r="G72" s="13"/>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s="14"/>
    </row>
    <row r="73" spans="7:54" x14ac:dyDescent="0.35">
      <c r="G73" s="1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s="14"/>
    </row>
    <row r="74" spans="7:54" x14ac:dyDescent="0.35">
      <c r="G74" s="13"/>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s="14"/>
    </row>
    <row r="75" spans="7:54" x14ac:dyDescent="0.35">
      <c r="G75" s="13"/>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s="14"/>
    </row>
    <row r="76" spans="7:54" x14ac:dyDescent="0.35">
      <c r="G76" s="13"/>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s="14"/>
    </row>
    <row r="77" spans="7:54" x14ac:dyDescent="0.35">
      <c r="G77" s="13"/>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s="14"/>
    </row>
    <row r="78" spans="7:54" x14ac:dyDescent="0.35">
      <c r="G78" s="13"/>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s="14"/>
    </row>
    <row r="79" spans="7:54" x14ac:dyDescent="0.35">
      <c r="G79" s="13"/>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s="14"/>
    </row>
    <row r="80" spans="7:54" x14ac:dyDescent="0.35">
      <c r="G80" s="13"/>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s="14"/>
    </row>
    <row r="81" spans="7:54" x14ac:dyDescent="0.35">
      <c r="G81" s="13"/>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s="14"/>
    </row>
    <row r="82" spans="7:54" x14ac:dyDescent="0.35">
      <c r="G82" s="13"/>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s="14"/>
    </row>
    <row r="83" spans="7:54" x14ac:dyDescent="0.35">
      <c r="G83" s="1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s="14"/>
    </row>
    <row r="84" spans="7:54" x14ac:dyDescent="0.35">
      <c r="G84" s="13"/>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s="14"/>
    </row>
    <row r="85" spans="7:54" x14ac:dyDescent="0.35">
      <c r="G85" s="13"/>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s="14"/>
    </row>
    <row r="86" spans="7:54" x14ac:dyDescent="0.35">
      <c r="G86" s="13"/>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s="14"/>
    </row>
    <row r="87" spans="7:54" x14ac:dyDescent="0.35">
      <c r="G87" s="13"/>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s="14"/>
    </row>
    <row r="88" spans="7:54" x14ac:dyDescent="0.35">
      <c r="G88" s="13"/>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s="14"/>
    </row>
    <row r="89" spans="7:54" x14ac:dyDescent="0.35">
      <c r="G89" s="13"/>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s="14"/>
    </row>
    <row r="90" spans="7:54" x14ac:dyDescent="0.35">
      <c r="G90" s="13"/>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s="14"/>
    </row>
    <row r="91" spans="7:54" x14ac:dyDescent="0.35">
      <c r="G91" s="13"/>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s="14"/>
    </row>
    <row r="92" spans="7:54" x14ac:dyDescent="0.35">
      <c r="G92" s="13"/>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s="14"/>
    </row>
    <row r="93" spans="7:54" x14ac:dyDescent="0.35">
      <c r="G93" s="1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s="14"/>
    </row>
    <row r="94" spans="7:54" x14ac:dyDescent="0.35">
      <c r="G94" s="13"/>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s="14"/>
    </row>
    <row r="95" spans="7:54" x14ac:dyDescent="0.35">
      <c r="G95" s="13"/>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s="14"/>
    </row>
    <row r="96" spans="7:54" x14ac:dyDescent="0.35">
      <c r="G96" s="13"/>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s="14"/>
    </row>
    <row r="97" spans="7:54" x14ac:dyDescent="0.35">
      <c r="G97" s="13"/>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s="14"/>
    </row>
    <row r="98" spans="7:54" x14ac:dyDescent="0.35">
      <c r="G98" s="13"/>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s="14"/>
    </row>
    <row r="99" spans="7:54" x14ac:dyDescent="0.35">
      <c r="G99" s="13"/>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s="14"/>
    </row>
    <row r="100" spans="7:54" x14ac:dyDescent="0.35">
      <c r="G100" s="13"/>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s="14"/>
    </row>
    <row r="101" spans="7:54" x14ac:dyDescent="0.35">
      <c r="G101" s="13"/>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s="14"/>
    </row>
    <row r="102" spans="7:54" x14ac:dyDescent="0.35">
      <c r="G102" s="13"/>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s="14"/>
    </row>
    <row r="103" spans="7:54" x14ac:dyDescent="0.35">
      <c r="G103" s="1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s="14"/>
    </row>
    <row r="104" spans="7:54" x14ac:dyDescent="0.35">
      <c r="G104" s="13"/>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s="14"/>
    </row>
    <row r="105" spans="7:54" x14ac:dyDescent="0.35">
      <c r="G105" s="13"/>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s="14"/>
    </row>
    <row r="106" spans="7:54" x14ac:dyDescent="0.35">
      <c r="G106" s="13"/>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s="14"/>
    </row>
    <row r="107" spans="7:54" x14ac:dyDescent="0.35">
      <c r="G107" s="13"/>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s="14"/>
    </row>
    <row r="108" spans="7:54" x14ac:dyDescent="0.35">
      <c r="G108" s="13"/>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s="14"/>
    </row>
    <row r="109" spans="7:54" ht="15" thickBot="1" x14ac:dyDescent="0.4">
      <c r="G109" s="15"/>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7"/>
    </row>
  </sheetData>
  <conditionalFormatting sqref="B20:B49">
    <cfRule type="expression" dxfId="13" priority="2">
      <formula>A20=""</formula>
    </cfRule>
  </conditionalFormatting>
  <conditionalFormatting sqref="C20:C49">
    <cfRule type="expression" dxfId="12" priority="1">
      <formula>A20=""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ED953-AF08-43EF-9881-0B9B5BDB7205}">
  <sheetPr>
    <tabColor theme="9" tint="0.39997558519241921"/>
  </sheetPr>
  <dimension ref="A1:BB115"/>
  <sheetViews>
    <sheetView workbookViewId="0"/>
  </sheetViews>
  <sheetFormatPr defaultColWidth="9.1796875" defaultRowHeight="14.5" x14ac:dyDescent="0.35"/>
  <cols>
    <col min="1" max="1" width="28.54296875" style="5" customWidth="1"/>
    <col min="2" max="2" width="35.1796875" style="5" customWidth="1"/>
    <col min="3" max="3" width="30.7265625" style="5" customWidth="1"/>
    <col min="4" max="4" width="29.1796875" style="5" customWidth="1"/>
    <col min="5" max="16384" width="9.1796875" style="5"/>
  </cols>
  <sheetData>
    <row r="1" spans="1:9" ht="20" thickBot="1" x14ac:dyDescent="0.5">
      <c r="A1" s="94" t="s">
        <v>220</v>
      </c>
    </row>
    <row r="2" spans="1:9" ht="15" thickTop="1" x14ac:dyDescent="0.35">
      <c r="A2" s="144" t="s">
        <v>237</v>
      </c>
      <c r="B2" s="144"/>
      <c r="C2" s="144"/>
      <c r="D2" s="144"/>
      <c r="E2" s="144"/>
      <c r="F2" s="144"/>
    </row>
    <row r="3" spans="1:9" x14ac:dyDescent="0.35">
      <c r="A3" s="5" t="s">
        <v>203</v>
      </c>
    </row>
    <row r="4" spans="1:9" x14ac:dyDescent="0.35">
      <c r="A4" s="145" t="s">
        <v>344</v>
      </c>
      <c r="B4" s="144"/>
      <c r="C4" s="144"/>
      <c r="D4" s="144"/>
      <c r="E4" s="144"/>
      <c r="F4" s="144"/>
      <c r="G4" s="144"/>
      <c r="H4" s="144"/>
      <c r="I4" s="144"/>
    </row>
    <row r="5" spans="1:9" x14ac:dyDescent="0.35">
      <c r="A5" s="38" t="s">
        <v>203</v>
      </c>
    </row>
    <row r="6" spans="1:9" x14ac:dyDescent="0.35">
      <c r="A6" s="95" t="s">
        <v>238</v>
      </c>
    </row>
    <row r="7" spans="1:9" x14ac:dyDescent="0.35">
      <c r="A7" s="113" t="s">
        <v>46</v>
      </c>
      <c r="B7" s="113" t="s">
        <v>331</v>
      </c>
    </row>
    <row r="8" spans="1:9" x14ac:dyDescent="0.35">
      <c r="A8" s="35" t="s">
        <v>193</v>
      </c>
      <c r="B8" s="42">
        <f>'Parameter Values'!B53</f>
        <v>0.56000000000000005</v>
      </c>
    </row>
    <row r="9" spans="1:9" x14ac:dyDescent="0.35">
      <c r="A9" s="35" t="s">
        <v>194</v>
      </c>
      <c r="B9" s="42">
        <f>'Parameter Values'!B54</f>
        <v>1.23</v>
      </c>
    </row>
    <row r="10" spans="1:9" x14ac:dyDescent="0.35">
      <c r="A10" s="113" t="s">
        <v>265</v>
      </c>
      <c r="B10" s="113" t="s">
        <v>332</v>
      </c>
    </row>
    <row r="11" spans="1:9" x14ac:dyDescent="0.35">
      <c r="A11" s="125" t="s">
        <v>266</v>
      </c>
      <c r="B11" s="396" t="s">
        <v>274</v>
      </c>
    </row>
    <row r="12" spans="1:9" x14ac:dyDescent="0.35">
      <c r="A12" s="35" t="s">
        <v>267</v>
      </c>
      <c r="B12" s="127">
        <f>'Parameter Values'!B63</f>
        <v>259</v>
      </c>
    </row>
    <row r="13" spans="1:9" x14ac:dyDescent="0.35">
      <c r="A13" s="35" t="s">
        <v>268</v>
      </c>
      <c r="B13" s="127">
        <f>'Parameter Values'!B64</f>
        <v>281</v>
      </c>
    </row>
    <row r="14" spans="1:9" x14ac:dyDescent="0.35">
      <c r="A14" s="35" t="s">
        <v>269</v>
      </c>
      <c r="B14" s="127">
        <f>'Parameter Values'!B65</f>
        <v>723</v>
      </c>
    </row>
    <row r="15" spans="1:9" x14ac:dyDescent="0.35">
      <c r="A15" s="35" t="s">
        <v>270</v>
      </c>
      <c r="B15" s="127">
        <f>'Parameter Values'!B66</f>
        <v>327</v>
      </c>
    </row>
    <row r="16" spans="1:9" x14ac:dyDescent="0.35">
      <c r="A16" s="125" t="s">
        <v>271</v>
      </c>
      <c r="B16" s="126" t="s">
        <v>274</v>
      </c>
    </row>
    <row r="17" spans="1:54" x14ac:dyDescent="0.35">
      <c r="A17" s="35" t="s">
        <v>267</v>
      </c>
      <c r="B17" s="127">
        <f>'Parameter Values'!B68</f>
        <v>655</v>
      </c>
    </row>
    <row r="18" spans="1:54" x14ac:dyDescent="0.35">
      <c r="A18" s="35" t="s">
        <v>268</v>
      </c>
      <c r="B18" s="127">
        <f>'Parameter Values'!B69</f>
        <v>642</v>
      </c>
    </row>
    <row r="19" spans="1:54" x14ac:dyDescent="0.35">
      <c r="A19" s="35" t="s">
        <v>269</v>
      </c>
      <c r="B19" s="127">
        <f>'Parameter Values'!B70</f>
        <v>1084</v>
      </c>
    </row>
    <row r="20" spans="1:54" x14ac:dyDescent="0.35">
      <c r="A20" s="35" t="s">
        <v>270</v>
      </c>
      <c r="B20" s="127">
        <f>'Parameter Values'!B71</f>
        <v>688</v>
      </c>
    </row>
    <row r="21" spans="1:54" x14ac:dyDescent="0.35">
      <c r="A21" s="125" t="s">
        <v>272</v>
      </c>
      <c r="B21" s="126" t="s">
        <v>274</v>
      </c>
    </row>
    <row r="22" spans="1:54" x14ac:dyDescent="0.35">
      <c r="A22" s="35" t="s">
        <v>273</v>
      </c>
      <c r="B22" s="42">
        <f>'Parameter Values'!B73</f>
        <v>1.0900000000000001</v>
      </c>
    </row>
    <row r="23" spans="1:54" x14ac:dyDescent="0.35">
      <c r="A23" s="38" t="s">
        <v>203</v>
      </c>
      <c r="B23" s="38"/>
    </row>
    <row r="24" spans="1:54" ht="15" thickBot="1" x14ac:dyDescent="0.4">
      <c r="A24" s="95" t="s">
        <v>241</v>
      </c>
    </row>
    <row r="25" spans="1:54" x14ac:dyDescent="0.35">
      <c r="A25" s="104" t="s">
        <v>4</v>
      </c>
      <c r="B25" s="105" t="s">
        <v>175</v>
      </c>
      <c r="C25" s="105" t="s">
        <v>176</v>
      </c>
      <c r="D25" s="111" t="s">
        <v>10</v>
      </c>
      <c r="G25" s="10" t="s">
        <v>159</v>
      </c>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2"/>
    </row>
    <row r="26" spans="1:54" x14ac:dyDescent="0.35">
      <c r="A26" s="6">
        <f>'Project Information'!$B$9</f>
        <v>2033</v>
      </c>
      <c r="B26" s="22">
        <v>0</v>
      </c>
      <c r="C26" s="22">
        <v>0</v>
      </c>
      <c r="D26" s="26">
        <f>B26-C26</f>
        <v>0</v>
      </c>
      <c r="G26" s="13"/>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s="14"/>
    </row>
    <row r="27" spans="1:54" x14ac:dyDescent="0.35">
      <c r="A27" s="1">
        <f>IF(A26&lt;'Project Information'!B$11,A26+1,"")</f>
        <v>2034</v>
      </c>
      <c r="B27" s="22">
        <v>0</v>
      </c>
      <c r="C27" s="22">
        <v>0</v>
      </c>
      <c r="D27" s="8">
        <f t="shared" ref="D27:D55" si="0">B27-C27</f>
        <v>0</v>
      </c>
      <c r="G27" s="13"/>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s="14"/>
    </row>
    <row r="28" spans="1:54" x14ac:dyDescent="0.35">
      <c r="A28" s="1">
        <f>IF(A27&lt;'Project Information'!B$11,A27+1,"")</f>
        <v>2035</v>
      </c>
      <c r="B28" s="22">
        <v>0</v>
      </c>
      <c r="C28" s="22">
        <v>0</v>
      </c>
      <c r="D28" s="8">
        <f t="shared" si="0"/>
        <v>0</v>
      </c>
      <c r="G28" s="13"/>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s="14"/>
    </row>
    <row r="29" spans="1:54" x14ac:dyDescent="0.35">
      <c r="A29" s="1">
        <f>IF(A28&lt;'Project Information'!B$11,A28+1,"")</f>
        <v>2036</v>
      </c>
      <c r="B29" s="22">
        <v>0</v>
      </c>
      <c r="C29" s="22">
        <v>0</v>
      </c>
      <c r="D29" s="8">
        <f t="shared" si="0"/>
        <v>0</v>
      </c>
      <c r="G29" s="13"/>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s="14"/>
    </row>
    <row r="30" spans="1:54" x14ac:dyDescent="0.35">
      <c r="A30" s="1">
        <f>IF(A29&lt;'Project Information'!B$11,A29+1,"")</f>
        <v>2037</v>
      </c>
      <c r="B30" s="22">
        <v>0</v>
      </c>
      <c r="C30" s="22">
        <v>0</v>
      </c>
      <c r="D30" s="8">
        <f t="shared" si="0"/>
        <v>0</v>
      </c>
      <c r="G30" s="13"/>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s="14"/>
    </row>
    <row r="31" spans="1:54" x14ac:dyDescent="0.35">
      <c r="A31" s="1">
        <f>IF(A30&lt;'Project Information'!B$11,A30+1,"")</f>
        <v>2038</v>
      </c>
      <c r="B31" s="22">
        <v>0</v>
      </c>
      <c r="C31" s="22">
        <v>0</v>
      </c>
      <c r="D31" s="8">
        <f t="shared" si="0"/>
        <v>0</v>
      </c>
      <c r="G31" s="13"/>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s="14"/>
    </row>
    <row r="32" spans="1:54" x14ac:dyDescent="0.35">
      <c r="A32" s="1">
        <f>IF(A31&lt;'Project Information'!B$11,A31+1,"")</f>
        <v>2039</v>
      </c>
      <c r="B32" s="22">
        <v>0</v>
      </c>
      <c r="C32" s="22">
        <v>0</v>
      </c>
      <c r="D32" s="8">
        <f t="shared" si="0"/>
        <v>0</v>
      </c>
      <c r="G32" s="13"/>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s="14"/>
    </row>
    <row r="33" spans="1:54" x14ac:dyDescent="0.35">
      <c r="A33" s="1">
        <f>IF(A32&lt;'Project Information'!B$11,A32+1,"")</f>
        <v>2040</v>
      </c>
      <c r="B33" s="22">
        <v>0</v>
      </c>
      <c r="C33" s="22">
        <v>0</v>
      </c>
      <c r="D33" s="8">
        <f t="shared" si="0"/>
        <v>0</v>
      </c>
      <c r="G33" s="1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s="14"/>
    </row>
    <row r="34" spans="1:54" x14ac:dyDescent="0.35">
      <c r="A34" s="1">
        <f>IF(A33&lt;'Project Information'!B$11,A33+1,"")</f>
        <v>2041</v>
      </c>
      <c r="B34" s="22">
        <v>0</v>
      </c>
      <c r="C34" s="22">
        <v>0</v>
      </c>
      <c r="D34" s="8">
        <f t="shared" si="0"/>
        <v>0</v>
      </c>
      <c r="G34" s="13"/>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s="14"/>
    </row>
    <row r="35" spans="1:54" x14ac:dyDescent="0.35">
      <c r="A35" s="1">
        <f>IF(A34&lt;'Project Information'!B$11,A34+1,"")</f>
        <v>2042</v>
      </c>
      <c r="B35" s="22">
        <v>0</v>
      </c>
      <c r="C35" s="22">
        <v>0</v>
      </c>
      <c r="D35" s="8">
        <f t="shared" si="0"/>
        <v>0</v>
      </c>
      <c r="G35" s="13"/>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s="14"/>
    </row>
    <row r="36" spans="1:54" x14ac:dyDescent="0.35">
      <c r="A36" s="1">
        <f>IF(A35&lt;'Project Information'!B$11,A35+1,"")</f>
        <v>2043</v>
      </c>
      <c r="B36" s="22">
        <v>0</v>
      </c>
      <c r="C36" s="22">
        <v>0</v>
      </c>
      <c r="D36" s="8">
        <f t="shared" si="0"/>
        <v>0</v>
      </c>
      <c r="G36" s="13"/>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s="14"/>
    </row>
    <row r="37" spans="1:54" x14ac:dyDescent="0.35">
      <c r="A37" s="1">
        <f>IF(A36&lt;'Project Information'!B$11,A36+1,"")</f>
        <v>2044</v>
      </c>
      <c r="B37" s="22">
        <v>0</v>
      </c>
      <c r="C37" s="22">
        <v>0</v>
      </c>
      <c r="D37" s="8">
        <f t="shared" si="0"/>
        <v>0</v>
      </c>
      <c r="G37" s="13"/>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s="14"/>
    </row>
    <row r="38" spans="1:54" x14ac:dyDescent="0.35">
      <c r="A38" s="1">
        <f>IF(A37&lt;'Project Information'!B$11,A37+1,"")</f>
        <v>2045</v>
      </c>
      <c r="B38" s="22">
        <v>0</v>
      </c>
      <c r="C38" s="22">
        <v>0</v>
      </c>
      <c r="D38" s="8">
        <f t="shared" si="0"/>
        <v>0</v>
      </c>
      <c r="G38" s="13"/>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s="14"/>
    </row>
    <row r="39" spans="1:54" x14ac:dyDescent="0.35">
      <c r="A39" s="1">
        <f>IF(A38&lt;'Project Information'!B$11,A38+1,"")</f>
        <v>2046</v>
      </c>
      <c r="B39" s="22">
        <v>0</v>
      </c>
      <c r="C39" s="22">
        <v>0</v>
      </c>
      <c r="D39" s="8">
        <f t="shared" si="0"/>
        <v>0</v>
      </c>
      <c r="G39" s="13"/>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s="14"/>
    </row>
    <row r="40" spans="1:54" x14ac:dyDescent="0.35">
      <c r="A40" s="1">
        <f>IF(A39&lt;'Project Information'!B$11,A39+1,"")</f>
        <v>2047</v>
      </c>
      <c r="B40" s="22">
        <v>0</v>
      </c>
      <c r="C40" s="22">
        <v>0</v>
      </c>
      <c r="D40" s="8">
        <f t="shared" si="0"/>
        <v>0</v>
      </c>
      <c r="G40" s="13"/>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s="14"/>
    </row>
    <row r="41" spans="1:54" x14ac:dyDescent="0.35">
      <c r="A41" s="1">
        <f>IF(A40&lt;'Project Information'!B$11,A40+1,"")</f>
        <v>2048</v>
      </c>
      <c r="B41" s="22">
        <v>0</v>
      </c>
      <c r="C41" s="22">
        <v>0</v>
      </c>
      <c r="D41" s="8">
        <f t="shared" si="0"/>
        <v>0</v>
      </c>
      <c r="G41" s="13"/>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s="14"/>
    </row>
    <row r="42" spans="1:54" x14ac:dyDescent="0.35">
      <c r="A42" s="1">
        <f>IF(A41&lt;'Project Information'!B$11,A41+1,"")</f>
        <v>2049</v>
      </c>
      <c r="B42" s="22">
        <v>0</v>
      </c>
      <c r="C42" s="22">
        <v>0</v>
      </c>
      <c r="D42" s="8">
        <f t="shared" si="0"/>
        <v>0</v>
      </c>
      <c r="G42" s="13"/>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s="14"/>
    </row>
    <row r="43" spans="1:54" x14ac:dyDescent="0.35">
      <c r="A43" s="1">
        <f>IF(A42&lt;'Project Information'!B$11,A42+1,"")</f>
        <v>2050</v>
      </c>
      <c r="B43" s="22">
        <v>0</v>
      </c>
      <c r="C43" s="22">
        <v>0</v>
      </c>
      <c r="D43" s="8">
        <f t="shared" si="0"/>
        <v>0</v>
      </c>
      <c r="G43" s="1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s="14"/>
    </row>
    <row r="44" spans="1:54" x14ac:dyDescent="0.35">
      <c r="A44" s="1">
        <f>IF(A43&lt;'Project Information'!B$11,A43+1,"")</f>
        <v>2051</v>
      </c>
      <c r="B44" s="22">
        <v>0</v>
      </c>
      <c r="C44" s="22">
        <v>0</v>
      </c>
      <c r="D44" s="8">
        <f t="shared" si="0"/>
        <v>0</v>
      </c>
      <c r="G44" s="13"/>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s="14"/>
    </row>
    <row r="45" spans="1:54" x14ac:dyDescent="0.35">
      <c r="A45" s="1">
        <f>IF(A44&lt;'Project Information'!B$11,A44+1,"")</f>
        <v>2052</v>
      </c>
      <c r="B45" s="22">
        <v>0</v>
      </c>
      <c r="C45" s="22">
        <v>0</v>
      </c>
      <c r="D45" s="8">
        <f t="shared" si="0"/>
        <v>0</v>
      </c>
      <c r="G45" s="13"/>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s="14"/>
    </row>
    <row r="46" spans="1:54" x14ac:dyDescent="0.35">
      <c r="A46" s="1" t="str">
        <f>IF(A45&lt;'Project Information'!B$11,A45+1,"")</f>
        <v/>
      </c>
      <c r="B46" s="22">
        <v>0</v>
      </c>
      <c r="C46" s="22">
        <v>0</v>
      </c>
      <c r="D46" s="8">
        <f t="shared" si="0"/>
        <v>0</v>
      </c>
      <c r="G46" s="13"/>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s="14"/>
    </row>
    <row r="47" spans="1:54" x14ac:dyDescent="0.35">
      <c r="A47" s="1" t="str">
        <f>IF(A46&lt;'Project Information'!B$11,A46+1,"")</f>
        <v/>
      </c>
      <c r="B47" s="22">
        <v>0</v>
      </c>
      <c r="C47" s="22">
        <v>0</v>
      </c>
      <c r="D47" s="8">
        <f t="shared" si="0"/>
        <v>0</v>
      </c>
      <c r="G47" s="13"/>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s="14"/>
    </row>
    <row r="48" spans="1:54" x14ac:dyDescent="0.35">
      <c r="A48" s="1" t="str">
        <f>IF(A47&lt;'Project Information'!B$11,A47+1,"")</f>
        <v/>
      </c>
      <c r="B48" s="22">
        <v>0</v>
      </c>
      <c r="C48" s="22">
        <v>0</v>
      </c>
      <c r="D48" s="8">
        <f t="shared" si="0"/>
        <v>0</v>
      </c>
      <c r="G48" s="13"/>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s="14"/>
    </row>
    <row r="49" spans="1:54" x14ac:dyDescent="0.35">
      <c r="A49" s="1" t="str">
        <f>IF(A48&lt;'Project Information'!B$11,A48+1,"")</f>
        <v/>
      </c>
      <c r="B49" s="22">
        <v>0</v>
      </c>
      <c r="C49" s="22">
        <v>0</v>
      </c>
      <c r="D49" s="8">
        <f t="shared" si="0"/>
        <v>0</v>
      </c>
      <c r="G49" s="13"/>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s="14"/>
    </row>
    <row r="50" spans="1:54" x14ac:dyDescent="0.35">
      <c r="A50" s="1" t="str">
        <f>IF(A49&lt;'Project Information'!B$11,A49+1,"")</f>
        <v/>
      </c>
      <c r="B50" s="22">
        <v>0</v>
      </c>
      <c r="C50" s="22">
        <v>0</v>
      </c>
      <c r="D50" s="8">
        <f t="shared" si="0"/>
        <v>0</v>
      </c>
      <c r="G50" s="13"/>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s="14"/>
    </row>
    <row r="51" spans="1:54" x14ac:dyDescent="0.35">
      <c r="A51" s="1" t="str">
        <f>IF(A50&lt;'Project Information'!B$11,A50+1,"")</f>
        <v/>
      </c>
      <c r="B51" s="22">
        <v>0</v>
      </c>
      <c r="C51" s="22">
        <v>0</v>
      </c>
      <c r="D51" s="8">
        <f t="shared" si="0"/>
        <v>0</v>
      </c>
      <c r="G51" s="13"/>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s="14"/>
    </row>
    <row r="52" spans="1:54" x14ac:dyDescent="0.35">
      <c r="A52" s="1" t="str">
        <f>IF(A51&lt;'Project Information'!B$11,A51+1,"")</f>
        <v/>
      </c>
      <c r="B52" s="22">
        <v>0</v>
      </c>
      <c r="C52" s="22">
        <v>0</v>
      </c>
      <c r="D52" s="8">
        <f t="shared" si="0"/>
        <v>0</v>
      </c>
      <c r="G52" s="13"/>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s="14"/>
    </row>
    <row r="53" spans="1:54" x14ac:dyDescent="0.35">
      <c r="A53" s="1" t="str">
        <f>IF(A52&lt;'Project Information'!B$11,A52+1,"")</f>
        <v/>
      </c>
      <c r="B53" s="22">
        <v>0</v>
      </c>
      <c r="C53" s="22">
        <v>0</v>
      </c>
      <c r="D53" s="8">
        <f t="shared" si="0"/>
        <v>0</v>
      </c>
      <c r="G53" s="1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s="14"/>
    </row>
    <row r="54" spans="1:54" x14ac:dyDescent="0.35">
      <c r="A54" s="1" t="str">
        <f>IF(A53&lt;'Project Information'!B$11,A53+1,"")</f>
        <v/>
      </c>
      <c r="B54" s="22">
        <v>0</v>
      </c>
      <c r="C54" s="22">
        <v>0</v>
      </c>
      <c r="D54" s="8">
        <f t="shared" si="0"/>
        <v>0</v>
      </c>
      <c r="G54" s="13"/>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s="14"/>
    </row>
    <row r="55" spans="1:54" x14ac:dyDescent="0.35">
      <c r="A55" s="1" t="str">
        <f>IF(A54&lt;'Project Information'!B$11,A54+1,"")</f>
        <v/>
      </c>
      <c r="B55" s="22">
        <v>0</v>
      </c>
      <c r="C55" s="22">
        <v>0</v>
      </c>
      <c r="D55" s="9">
        <f t="shared" si="0"/>
        <v>0</v>
      </c>
      <c r="G55" s="13"/>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s="14"/>
    </row>
    <row r="56" spans="1:54" x14ac:dyDescent="0.35">
      <c r="A56" s="31"/>
      <c r="B56" s="32"/>
      <c r="C56" s="32"/>
      <c r="D56" s="29"/>
      <c r="G56" s="13"/>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s="14"/>
    </row>
    <row r="57" spans="1:54" x14ac:dyDescent="0.35">
      <c r="B57" s="28"/>
      <c r="C57" s="28"/>
      <c r="D57" s="29"/>
      <c r="G57" s="13"/>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s="14"/>
    </row>
    <row r="58" spans="1:54" x14ac:dyDescent="0.35">
      <c r="B58" s="28"/>
      <c r="C58" s="28"/>
      <c r="D58" s="29"/>
      <c r="G58" s="13"/>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s="14"/>
    </row>
    <row r="59" spans="1:54" x14ac:dyDescent="0.35">
      <c r="B59" s="28"/>
      <c r="C59" s="28"/>
      <c r="D59" s="29"/>
      <c r="G59" s="13"/>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s="14"/>
    </row>
    <row r="60" spans="1:54" x14ac:dyDescent="0.35">
      <c r="B60" s="28"/>
      <c r="C60" s="28"/>
      <c r="D60" s="29"/>
      <c r="G60" s="13"/>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s="14"/>
    </row>
    <row r="61" spans="1:54" x14ac:dyDescent="0.35">
      <c r="B61" s="28"/>
      <c r="C61" s="28"/>
      <c r="D61" s="29"/>
      <c r="G61" s="13"/>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s="14"/>
    </row>
    <row r="62" spans="1:54" x14ac:dyDescent="0.35">
      <c r="B62" s="28"/>
      <c r="C62" s="28"/>
      <c r="D62" s="29"/>
      <c r="G62" s="13"/>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s="14"/>
    </row>
    <row r="63" spans="1:54" x14ac:dyDescent="0.35">
      <c r="B63" s="28"/>
      <c r="C63" s="28"/>
      <c r="D63" s="29"/>
      <c r="G63" s="1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s="14"/>
    </row>
    <row r="64" spans="1:54" x14ac:dyDescent="0.35">
      <c r="B64" s="28"/>
      <c r="C64" s="28"/>
      <c r="D64" s="29"/>
      <c r="G64" s="13"/>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s="14"/>
    </row>
    <row r="65" spans="2:54" x14ac:dyDescent="0.35">
      <c r="B65" s="28"/>
      <c r="C65" s="28"/>
      <c r="D65" s="29"/>
      <c r="G65" s="13"/>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s="14"/>
    </row>
    <row r="66" spans="2:54" x14ac:dyDescent="0.35">
      <c r="G66" s="13"/>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s="14"/>
    </row>
    <row r="67" spans="2:54" x14ac:dyDescent="0.35">
      <c r="G67" s="13"/>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s="14"/>
    </row>
    <row r="68" spans="2:54" x14ac:dyDescent="0.35">
      <c r="G68" s="13"/>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s="14"/>
    </row>
    <row r="69" spans="2:54" x14ac:dyDescent="0.35">
      <c r="G69" s="13"/>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s="14"/>
    </row>
    <row r="70" spans="2:54" x14ac:dyDescent="0.35">
      <c r="G70" s="13"/>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s="14"/>
    </row>
    <row r="71" spans="2:54" x14ac:dyDescent="0.35">
      <c r="G71" s="13"/>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s="14"/>
    </row>
    <row r="72" spans="2:54" x14ac:dyDescent="0.35">
      <c r="G72" s="13"/>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s="14"/>
    </row>
    <row r="73" spans="2:54" x14ac:dyDescent="0.35">
      <c r="G73" s="1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s="14"/>
    </row>
    <row r="74" spans="2:54" x14ac:dyDescent="0.35">
      <c r="G74" s="13"/>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s="14"/>
    </row>
    <row r="75" spans="2:54" x14ac:dyDescent="0.35">
      <c r="G75" s="13"/>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s="14"/>
    </row>
    <row r="76" spans="2:54" x14ac:dyDescent="0.35">
      <c r="G76" s="13"/>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s="14"/>
    </row>
    <row r="77" spans="2:54" x14ac:dyDescent="0.35">
      <c r="G77" s="13"/>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s="14"/>
    </row>
    <row r="78" spans="2:54" x14ac:dyDescent="0.35">
      <c r="G78" s="13"/>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s="14"/>
    </row>
    <row r="79" spans="2:54" x14ac:dyDescent="0.35">
      <c r="G79" s="13"/>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s="14"/>
    </row>
    <row r="80" spans="2:54" x14ac:dyDescent="0.35">
      <c r="G80" s="13"/>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s="14"/>
    </row>
    <row r="81" spans="7:54" x14ac:dyDescent="0.35">
      <c r="G81" s="13"/>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s="14"/>
    </row>
    <row r="82" spans="7:54" x14ac:dyDescent="0.35">
      <c r="G82" s="13"/>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s="14"/>
    </row>
    <row r="83" spans="7:54" x14ac:dyDescent="0.35">
      <c r="G83" s="1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s="14"/>
    </row>
    <row r="84" spans="7:54" x14ac:dyDescent="0.35">
      <c r="G84" s="13"/>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s="14"/>
    </row>
    <row r="85" spans="7:54" x14ac:dyDescent="0.35">
      <c r="G85" s="13"/>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s="14"/>
    </row>
    <row r="86" spans="7:54" x14ac:dyDescent="0.35">
      <c r="G86" s="13"/>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s="14"/>
    </row>
    <row r="87" spans="7:54" x14ac:dyDescent="0.35">
      <c r="G87" s="13"/>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s="14"/>
    </row>
    <row r="88" spans="7:54" x14ac:dyDescent="0.35">
      <c r="G88" s="13"/>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s="14"/>
    </row>
    <row r="89" spans="7:54" x14ac:dyDescent="0.35">
      <c r="G89" s="13"/>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s="14"/>
    </row>
    <row r="90" spans="7:54" x14ac:dyDescent="0.35">
      <c r="G90" s="13"/>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s="14"/>
    </row>
    <row r="91" spans="7:54" x14ac:dyDescent="0.35">
      <c r="G91" s="13"/>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s="14"/>
    </row>
    <row r="92" spans="7:54" x14ac:dyDescent="0.35">
      <c r="G92" s="13"/>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s="14"/>
    </row>
    <row r="93" spans="7:54" x14ac:dyDescent="0.35">
      <c r="G93" s="1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s="14"/>
    </row>
    <row r="94" spans="7:54" x14ac:dyDescent="0.35">
      <c r="G94" s="13"/>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s="14"/>
    </row>
    <row r="95" spans="7:54" x14ac:dyDescent="0.35">
      <c r="G95" s="13"/>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s="14"/>
    </row>
    <row r="96" spans="7:54" x14ac:dyDescent="0.35">
      <c r="G96" s="13"/>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s="14"/>
    </row>
    <row r="97" spans="7:54" x14ac:dyDescent="0.35">
      <c r="G97" s="13"/>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s="14"/>
    </row>
    <row r="98" spans="7:54" x14ac:dyDescent="0.35">
      <c r="G98" s="13"/>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s="14"/>
    </row>
    <row r="99" spans="7:54" x14ac:dyDescent="0.35">
      <c r="G99" s="13"/>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s="14"/>
    </row>
    <row r="100" spans="7:54" x14ac:dyDescent="0.35">
      <c r="G100" s="13"/>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s="14"/>
    </row>
    <row r="101" spans="7:54" x14ac:dyDescent="0.35">
      <c r="G101" s="13"/>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s="14"/>
    </row>
    <row r="102" spans="7:54" x14ac:dyDescent="0.35">
      <c r="G102" s="13"/>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s="14"/>
    </row>
    <row r="103" spans="7:54" x14ac:dyDescent="0.35">
      <c r="G103" s="1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s="14"/>
    </row>
    <row r="104" spans="7:54" x14ac:dyDescent="0.35">
      <c r="G104" s="13"/>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s="14"/>
    </row>
    <row r="105" spans="7:54" x14ac:dyDescent="0.35">
      <c r="G105" s="13"/>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s="14"/>
    </row>
    <row r="106" spans="7:54" x14ac:dyDescent="0.35">
      <c r="G106" s="13"/>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s="14"/>
    </row>
    <row r="107" spans="7:54" x14ac:dyDescent="0.35">
      <c r="G107" s="13"/>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s="14"/>
    </row>
    <row r="108" spans="7:54" x14ac:dyDescent="0.35">
      <c r="G108" s="13"/>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s="14"/>
    </row>
    <row r="109" spans="7:54" x14ac:dyDescent="0.35">
      <c r="G109" s="13"/>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s="14"/>
    </row>
    <row r="110" spans="7:54" x14ac:dyDescent="0.35">
      <c r="G110" s="13"/>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s="14"/>
    </row>
    <row r="111" spans="7:54" x14ac:dyDescent="0.35">
      <c r="G111" s="13"/>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s="14"/>
    </row>
    <row r="112" spans="7:54" x14ac:dyDescent="0.35">
      <c r="G112" s="13"/>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s="14"/>
    </row>
    <row r="113" spans="7:54" x14ac:dyDescent="0.35">
      <c r="G113" s="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s="14"/>
    </row>
    <row r="114" spans="7:54" x14ac:dyDescent="0.35">
      <c r="G114" s="13"/>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s="14"/>
    </row>
    <row r="115" spans="7:54" ht="15" thickBot="1" x14ac:dyDescent="0.4">
      <c r="G115" s="15"/>
      <c r="H115" s="16"/>
      <c r="I115" s="16"/>
      <c r="J115" s="16"/>
      <c r="K115" s="16"/>
      <c r="L115" s="16"/>
      <c r="M115" s="16"/>
      <c r="N115" s="16"/>
      <c r="O115" s="16"/>
      <c r="P115" s="16"/>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7"/>
    </row>
  </sheetData>
  <conditionalFormatting sqref="B26:B55">
    <cfRule type="expression" dxfId="11" priority="2">
      <formula>A26=""</formula>
    </cfRule>
  </conditionalFormatting>
  <conditionalFormatting sqref="C26:C55">
    <cfRule type="expression" dxfId="10" priority="1">
      <formula>A26=""</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91F2-D7AF-455F-8829-31EC658BE4DB}">
  <sheetPr>
    <tabColor rgb="FF002060"/>
  </sheetPr>
  <dimension ref="B2:U33"/>
  <sheetViews>
    <sheetView showGridLines="0" workbookViewId="0"/>
  </sheetViews>
  <sheetFormatPr defaultRowHeight="14.5" outlineLevelRow="1" x14ac:dyDescent="0.35"/>
  <cols>
    <col min="1" max="1" width="2.54296875" customWidth="1"/>
    <col min="2" max="2" width="70.36328125" bestFit="1" customWidth="1"/>
    <col min="3" max="3" width="2.7265625" customWidth="1"/>
    <col min="4" max="4" width="24" customWidth="1"/>
    <col min="5" max="5" width="26" customWidth="1"/>
    <col min="6" max="6" width="2.7265625" customWidth="1"/>
  </cols>
  <sheetData>
    <row r="2" spans="2:21" x14ac:dyDescent="0.35">
      <c r="B2" s="215" t="s">
        <v>368</v>
      </c>
      <c r="D2" s="214" t="s">
        <v>190</v>
      </c>
      <c r="E2" s="213" t="s">
        <v>191</v>
      </c>
      <c r="G2" s="215" t="s">
        <v>367</v>
      </c>
      <c r="H2" s="215"/>
      <c r="I2" s="215"/>
      <c r="J2" s="215"/>
      <c r="K2" s="215"/>
      <c r="L2" s="215"/>
      <c r="M2" s="215"/>
      <c r="N2" s="215"/>
      <c r="O2" s="215"/>
      <c r="P2" s="215"/>
      <c r="Q2" s="215"/>
      <c r="R2" s="215"/>
      <c r="S2" s="215"/>
      <c r="T2" s="215"/>
      <c r="U2" s="215"/>
    </row>
    <row r="3" spans="2:21" outlineLevel="1" x14ac:dyDescent="0.35">
      <c r="B3" s="293" t="s">
        <v>366</v>
      </c>
      <c r="D3" s="225" t="s">
        <v>351</v>
      </c>
      <c r="E3" s="224">
        <v>0</v>
      </c>
      <c r="G3" t="s">
        <v>1655</v>
      </c>
    </row>
    <row r="4" spans="2:21" outlineLevel="1" x14ac:dyDescent="0.35">
      <c r="B4" s="293" t="s">
        <v>414</v>
      </c>
      <c r="D4" s="225" t="s">
        <v>351</v>
      </c>
      <c r="E4" s="224">
        <v>0</v>
      </c>
      <c r="G4" t="s">
        <v>1655</v>
      </c>
    </row>
    <row r="5" spans="2:21" outlineLevel="1" x14ac:dyDescent="0.35">
      <c r="B5" s="293" t="s">
        <v>365</v>
      </c>
      <c r="D5" s="225" t="s">
        <v>351</v>
      </c>
      <c r="E5" s="224">
        <v>0.03</v>
      </c>
      <c r="G5" t="s">
        <v>364</v>
      </c>
    </row>
    <row r="6" spans="2:21" outlineLevel="1" x14ac:dyDescent="0.35">
      <c r="B6" s="293" t="s">
        <v>363</v>
      </c>
      <c r="D6" s="225" t="s">
        <v>351</v>
      </c>
      <c r="E6" s="224">
        <v>0.03</v>
      </c>
      <c r="G6" t="s">
        <v>364</v>
      </c>
    </row>
    <row r="7" spans="2:21" outlineLevel="1" x14ac:dyDescent="0.35">
      <c r="B7" s="293" t="s">
        <v>362</v>
      </c>
      <c r="D7" s="224">
        <f>Maine_Population_Data!$H$6</f>
        <v>3.3092037228541482E-3</v>
      </c>
      <c r="E7" s="224">
        <f>Maine_Population_Data!$H$6</f>
        <v>3.3092037228541482E-3</v>
      </c>
      <c r="G7" s="386" t="s">
        <v>1650</v>
      </c>
    </row>
    <row r="8" spans="2:21" outlineLevel="1" x14ac:dyDescent="0.35">
      <c r="B8" s="293" t="s">
        <v>1608</v>
      </c>
      <c r="D8" s="224">
        <f>Maine_Population_Data!$H$6</f>
        <v>3.3092037228541482E-3</v>
      </c>
      <c r="E8" s="224">
        <f>Maine_Population_Data!$H$6</f>
        <v>3.3092037228541482E-3</v>
      </c>
      <c r="G8" s="386" t="s">
        <v>1650</v>
      </c>
    </row>
    <row r="9" spans="2:21" outlineLevel="1" x14ac:dyDescent="0.35">
      <c r="B9" s="293" t="s">
        <v>361</v>
      </c>
      <c r="D9" s="224">
        <f>Maine_Population_Data!$H$6</f>
        <v>3.3092037228541482E-3</v>
      </c>
      <c r="E9" s="224">
        <f>Maine_Population_Data!$H$6</f>
        <v>3.3092037228541482E-3</v>
      </c>
      <c r="G9" s="386" t="s">
        <v>1650</v>
      </c>
    </row>
    <row r="10" spans="2:21" outlineLevel="1" x14ac:dyDescent="0.35">
      <c r="B10" s="293" t="s">
        <v>360</v>
      </c>
      <c r="D10" s="224">
        <f>Maine_Population_Data!$H$6</f>
        <v>3.3092037228541482E-3</v>
      </c>
      <c r="E10" s="224">
        <f>Maine_Population_Data!$H$6</f>
        <v>3.3092037228541482E-3</v>
      </c>
      <c r="G10" s="386" t="s">
        <v>1650</v>
      </c>
    </row>
    <row r="11" spans="2:21" x14ac:dyDescent="0.35">
      <c r="B11" s="398"/>
    </row>
    <row r="12" spans="2:21" x14ac:dyDescent="0.35">
      <c r="B12" s="215" t="s">
        <v>359</v>
      </c>
      <c r="C12" s="223"/>
      <c r="D12" s="214" t="s">
        <v>190</v>
      </c>
      <c r="E12" s="213" t="s">
        <v>191</v>
      </c>
    </row>
    <row r="13" spans="2:21" x14ac:dyDescent="0.35">
      <c r="B13" s="211" t="s">
        <v>358</v>
      </c>
    </row>
    <row r="14" spans="2:21" outlineLevel="1" x14ac:dyDescent="0.35">
      <c r="B14" s="212" t="s">
        <v>357</v>
      </c>
      <c r="D14" s="210" t="s">
        <v>351</v>
      </c>
      <c r="E14" s="218">
        <v>2030</v>
      </c>
      <c r="G14" t="s">
        <v>1648</v>
      </c>
    </row>
    <row r="15" spans="2:21" outlineLevel="1" x14ac:dyDescent="0.35">
      <c r="B15" s="212" t="s">
        <v>356</v>
      </c>
      <c r="D15" s="210" t="s">
        <v>351</v>
      </c>
      <c r="E15" s="218">
        <f>E14+3</f>
        <v>2033</v>
      </c>
      <c r="G15" t="s">
        <v>355</v>
      </c>
    </row>
    <row r="16" spans="2:21" outlineLevel="1" x14ac:dyDescent="0.35">
      <c r="B16" s="212" t="s">
        <v>1649</v>
      </c>
      <c r="D16" s="210" t="s">
        <v>351</v>
      </c>
      <c r="E16" s="218">
        <v>20</v>
      </c>
    </row>
    <row r="17" spans="2:7" outlineLevel="1" x14ac:dyDescent="0.35">
      <c r="B17" s="212" t="s">
        <v>1556</v>
      </c>
      <c r="C17" s="211"/>
      <c r="D17" s="225">
        <v>0.03</v>
      </c>
      <c r="E17" s="224">
        <v>0.03</v>
      </c>
      <c r="G17" s="421"/>
    </row>
    <row r="18" spans="2:7" x14ac:dyDescent="0.35">
      <c r="B18" s="212"/>
      <c r="C18" s="211"/>
      <c r="D18" s="225"/>
      <c r="E18" s="224"/>
    </row>
    <row r="19" spans="2:7" x14ac:dyDescent="0.35">
      <c r="B19" s="220" t="s">
        <v>1656</v>
      </c>
    </row>
    <row r="20" spans="2:7" outlineLevel="1" x14ac:dyDescent="0.35">
      <c r="B20" s="212" t="s">
        <v>1651</v>
      </c>
      <c r="D20" s="497">
        <f>Vehicle_Volumes_by_FocusArea!$B$27-Vehicle_Volumes_by_FocusArea!$B$28</f>
        <v>46280.001499999998</v>
      </c>
      <c r="E20" s="497">
        <f>Vehicle_Volumes_by_FocusArea!$B$27-Vehicle_Volumes_by_FocusArea!$B$28</f>
        <v>46280.001499999998</v>
      </c>
      <c r="G20" t="s">
        <v>1681</v>
      </c>
    </row>
    <row r="21" spans="2:7" outlineLevel="1" x14ac:dyDescent="0.35">
      <c r="B21" s="212" t="s">
        <v>1652</v>
      </c>
      <c r="D21" s="497">
        <f>Vehicle_Volumes_by_FocusArea!$B$28</f>
        <v>1089.4984999999999</v>
      </c>
      <c r="E21" s="497">
        <f>Vehicle_Volumes_by_FocusArea!$B$28</f>
        <v>1089.4984999999999</v>
      </c>
      <c r="G21" t="s">
        <v>1682</v>
      </c>
    </row>
    <row r="22" spans="2:7" outlineLevel="1" x14ac:dyDescent="0.35">
      <c r="B22" s="212" t="s">
        <v>1653</v>
      </c>
      <c r="D22" s="222">
        <v>390</v>
      </c>
      <c r="E22" s="221">
        <f>D22*(1+$E$5)</f>
        <v>401.7</v>
      </c>
      <c r="G22" s="386" t="s">
        <v>1680</v>
      </c>
    </row>
    <row r="23" spans="2:7" outlineLevel="1" x14ac:dyDescent="0.35">
      <c r="B23" s="212" t="s">
        <v>1654</v>
      </c>
      <c r="D23" s="222">
        <v>15</v>
      </c>
      <c r="E23" s="221">
        <f>D23*(1+$E$6)</f>
        <v>15.450000000000001</v>
      </c>
      <c r="G23" s="386" t="s">
        <v>1680</v>
      </c>
    </row>
    <row r="25" spans="2:7" x14ac:dyDescent="0.35">
      <c r="B25" s="220" t="s">
        <v>216</v>
      </c>
    </row>
    <row r="26" spans="2:7" outlineLevel="1" x14ac:dyDescent="0.35">
      <c r="B26" s="212" t="s">
        <v>354</v>
      </c>
      <c r="D26" s="217" t="s">
        <v>351</v>
      </c>
      <c r="E26" s="216">
        <f>'Project Budget'!$G$7/3</f>
        <v>3868321.3333333335</v>
      </c>
      <c r="G26" t="s">
        <v>1609</v>
      </c>
    </row>
    <row r="27" spans="2:7" outlineLevel="1" x14ac:dyDescent="0.35">
      <c r="B27" s="212" t="s">
        <v>353</v>
      </c>
      <c r="D27" s="217" t="s">
        <v>351</v>
      </c>
      <c r="E27" s="216">
        <f>'Project Budget'!$G$7/3</f>
        <v>3868321.3333333335</v>
      </c>
      <c r="G27" t="s">
        <v>1609</v>
      </c>
    </row>
    <row r="28" spans="2:7" outlineLevel="1" x14ac:dyDescent="0.35">
      <c r="B28" s="212" t="s">
        <v>1607</v>
      </c>
      <c r="D28" s="217" t="s">
        <v>351</v>
      </c>
      <c r="E28" s="216">
        <f>'Project Budget'!$G$7/3</f>
        <v>3868321.3333333335</v>
      </c>
      <c r="G28" t="s">
        <v>1609</v>
      </c>
    </row>
    <row r="29" spans="2:7" outlineLevel="1" x14ac:dyDescent="0.35">
      <c r="B29" s="387" t="s">
        <v>352</v>
      </c>
      <c r="C29" s="211"/>
      <c r="D29" s="388" t="s">
        <v>351</v>
      </c>
      <c r="E29" s="389">
        <f>SUM(E26:E28)</f>
        <v>11604964</v>
      </c>
      <c r="G29" t="s">
        <v>1679</v>
      </c>
    </row>
    <row r="30" spans="2:7" x14ac:dyDescent="0.35">
      <c r="B30" s="212"/>
    </row>
    <row r="31" spans="2:7" ht="15" thickBot="1" x14ac:dyDescent="0.4"/>
    <row r="32" spans="2:7" ht="26.5" thickBot="1" x14ac:dyDescent="0.65">
      <c r="D32" s="366" t="s">
        <v>350</v>
      </c>
      <c r="E32" s="367">
        <f>'Final Results'!$B$8</f>
        <v>2.7305592229119098</v>
      </c>
    </row>
    <row r="33" spans="4:5" x14ac:dyDescent="0.35">
      <c r="D33" s="209"/>
      <c r="E33" s="209"/>
    </row>
  </sheetData>
  <conditionalFormatting sqref="D3:E10 D14:E18 D20:E23 D26:E29">
    <cfRule type="expression" dxfId="23" priority="4">
      <formula>MOD(ROW(),2)</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95586-785A-4FD2-A789-DCFA60DB471C}">
  <sheetPr>
    <tabColor theme="9" tint="0.39997558519241921"/>
  </sheetPr>
  <dimension ref="A1:BV112"/>
  <sheetViews>
    <sheetView workbookViewId="0"/>
  </sheetViews>
  <sheetFormatPr defaultColWidth="9.1796875" defaultRowHeight="14.5" x14ac:dyDescent="0.35"/>
  <cols>
    <col min="1" max="1" width="39" style="5" customWidth="1"/>
    <col min="2" max="2" width="35.453125" style="5" customWidth="1"/>
    <col min="3" max="3" width="35.54296875" style="5" customWidth="1"/>
    <col min="4" max="4" width="30.1796875" style="5" customWidth="1"/>
    <col min="5" max="5" width="26.81640625" style="5" customWidth="1"/>
    <col min="6" max="6" width="7.453125" style="5" customWidth="1"/>
    <col min="7" max="14" width="20.54296875" style="5" customWidth="1"/>
    <col min="15" max="18" width="15.7265625" style="5" customWidth="1"/>
    <col min="19" max="19" width="28.54296875" style="5" customWidth="1"/>
    <col min="20" max="20" width="24.81640625" style="5" customWidth="1"/>
    <col min="21" max="16384" width="9.1796875" style="5"/>
  </cols>
  <sheetData>
    <row r="1" spans="1:9" ht="20" thickBot="1" x14ac:dyDescent="0.5">
      <c r="A1" s="94" t="s">
        <v>221</v>
      </c>
      <c r="B1" s="128"/>
      <c r="C1" s="128"/>
      <c r="D1" s="128"/>
      <c r="E1" s="128"/>
      <c r="F1" s="128"/>
    </row>
    <row r="2" spans="1:9" ht="15" thickTop="1" x14ac:dyDescent="0.35">
      <c r="A2" s="146" t="s">
        <v>346</v>
      </c>
      <c r="B2" s="147"/>
      <c r="C2" s="147"/>
      <c r="D2" s="147"/>
      <c r="E2" s="147"/>
      <c r="F2" s="147"/>
      <c r="G2" s="147"/>
      <c r="H2" s="147"/>
      <c r="I2" s="147"/>
    </row>
    <row r="3" spans="1:9" x14ac:dyDescent="0.35">
      <c r="A3" s="146" t="s">
        <v>299</v>
      </c>
      <c r="B3" s="147"/>
      <c r="C3" s="147"/>
      <c r="D3" s="147"/>
    </row>
    <row r="4" spans="1:9" x14ac:dyDescent="0.35">
      <c r="A4" s="146" t="s">
        <v>300</v>
      </c>
      <c r="B4" s="147"/>
      <c r="C4" s="147"/>
    </row>
    <row r="5" spans="1:9" x14ac:dyDescent="0.35">
      <c r="A5" s="146" t="s">
        <v>290</v>
      </c>
      <c r="B5" s="147"/>
      <c r="C5" s="147"/>
      <c r="D5" s="147"/>
      <c r="E5" s="147"/>
    </row>
    <row r="6" spans="1:9" x14ac:dyDescent="0.35">
      <c r="A6" s="5" t="s">
        <v>203</v>
      </c>
    </row>
    <row r="7" spans="1:9" x14ac:dyDescent="0.35">
      <c r="A7" s="95" t="s">
        <v>277</v>
      </c>
    </row>
    <row r="8" spans="1:9" x14ac:dyDescent="0.35">
      <c r="A8" s="113" t="s">
        <v>142</v>
      </c>
      <c r="B8" s="113" t="s">
        <v>331</v>
      </c>
      <c r="C8" s="185"/>
    </row>
    <row r="9" spans="1:9" x14ac:dyDescent="0.35">
      <c r="A9" s="132"/>
      <c r="B9" s="126" t="s">
        <v>323</v>
      </c>
      <c r="C9" s="186"/>
    </row>
    <row r="10" spans="1:9" x14ac:dyDescent="0.35">
      <c r="A10" s="35" t="s">
        <v>146</v>
      </c>
      <c r="B10" s="167" t="s">
        <v>100</v>
      </c>
      <c r="C10" s="187"/>
    </row>
    <row r="11" spans="1:9" x14ac:dyDescent="0.35">
      <c r="A11" s="35" t="s">
        <v>147</v>
      </c>
      <c r="B11" s="395" t="s">
        <v>100</v>
      </c>
      <c r="C11" s="187"/>
    </row>
    <row r="12" spans="1:9" x14ac:dyDescent="0.35">
      <c r="A12" s="35" t="s">
        <v>148</v>
      </c>
      <c r="B12" s="133">
        <f>'Parameter Values'!E233</f>
        <v>1.2999999999999999E-2</v>
      </c>
      <c r="C12" s="187"/>
    </row>
    <row r="13" spans="1:9" x14ac:dyDescent="0.35">
      <c r="A13" s="35" t="s">
        <v>149</v>
      </c>
      <c r="B13" s="167" t="s">
        <v>100</v>
      </c>
      <c r="C13" s="187"/>
    </row>
    <row r="14" spans="1:9" x14ac:dyDescent="0.35">
      <c r="A14" s="35" t="s">
        <v>150</v>
      </c>
      <c r="B14" s="167" t="s">
        <v>100</v>
      </c>
      <c r="C14" s="187"/>
    </row>
    <row r="15" spans="1:9" x14ac:dyDescent="0.35">
      <c r="A15" s="35" t="s">
        <v>151</v>
      </c>
      <c r="B15" s="133">
        <f>'Parameter Values'!E236</f>
        <v>3.7999999999999999E-2</v>
      </c>
      <c r="C15" s="187"/>
    </row>
    <row r="16" spans="1:9" x14ac:dyDescent="0.35">
      <c r="A16" s="35" t="s">
        <v>152</v>
      </c>
      <c r="B16" s="167" t="s">
        <v>100</v>
      </c>
      <c r="C16" s="187"/>
    </row>
    <row r="17" spans="1:74" x14ac:dyDescent="0.35">
      <c r="A17" s="35" t="s">
        <v>153</v>
      </c>
      <c r="B17" s="167" t="s">
        <v>100</v>
      </c>
      <c r="C17" s="187"/>
    </row>
    <row r="18" spans="1:74" x14ac:dyDescent="0.35">
      <c r="A18" s="35" t="s">
        <v>154</v>
      </c>
      <c r="B18" s="133">
        <f>'Parameter Values'!E239</f>
        <v>1.6E-2</v>
      </c>
      <c r="C18" s="187"/>
    </row>
    <row r="19" spans="1:74" x14ac:dyDescent="0.35">
      <c r="A19" s="113" t="s">
        <v>265</v>
      </c>
      <c r="B19" s="113" t="s">
        <v>332</v>
      </c>
      <c r="C19" s="185"/>
    </row>
    <row r="20" spans="1:74" x14ac:dyDescent="0.35">
      <c r="A20" s="125" t="s">
        <v>266</v>
      </c>
      <c r="B20" s="126" t="s">
        <v>323</v>
      </c>
      <c r="C20" s="186"/>
    </row>
    <row r="21" spans="1:74" x14ac:dyDescent="0.35">
      <c r="A21" s="35" t="s">
        <v>267</v>
      </c>
      <c r="B21" s="127">
        <f>'Parameter Values'!C63</f>
        <v>799</v>
      </c>
      <c r="C21" s="188"/>
    </row>
    <row r="22" spans="1:74" x14ac:dyDescent="0.35">
      <c r="A22" s="35" t="s">
        <v>268</v>
      </c>
      <c r="B22" s="127">
        <f>'Parameter Values'!C64</f>
        <v>109</v>
      </c>
      <c r="C22" s="188"/>
    </row>
    <row r="23" spans="1:74" x14ac:dyDescent="0.35">
      <c r="A23" s="35" t="s">
        <v>269</v>
      </c>
      <c r="B23" s="127">
        <f>'Parameter Values'!C65</f>
        <v>109</v>
      </c>
      <c r="C23" s="188"/>
    </row>
    <row r="24" spans="1:74" x14ac:dyDescent="0.35">
      <c r="A24" s="35" t="s">
        <v>270</v>
      </c>
      <c r="B24" s="127">
        <f>'Parameter Values'!C66</f>
        <v>109</v>
      </c>
      <c r="C24" s="188"/>
    </row>
    <row r="25" spans="1:74" x14ac:dyDescent="0.35">
      <c r="A25" s="125" t="s">
        <v>271</v>
      </c>
      <c r="B25" s="126" t="s">
        <v>323</v>
      </c>
      <c r="C25" s="186"/>
    </row>
    <row r="26" spans="1:74" x14ac:dyDescent="0.35">
      <c r="A26" s="35" t="s">
        <v>267</v>
      </c>
      <c r="B26" s="127">
        <f>'Parameter Values'!C68</f>
        <v>2356</v>
      </c>
      <c r="C26" s="188"/>
    </row>
    <row r="27" spans="1:74" x14ac:dyDescent="0.35">
      <c r="A27" s="35" t="s">
        <v>268</v>
      </c>
      <c r="B27" s="127">
        <f>'Parameter Values'!C69</f>
        <v>780</v>
      </c>
      <c r="C27" s="188"/>
    </row>
    <row r="28" spans="1:74" x14ac:dyDescent="0.35">
      <c r="A28" s="35" t="s">
        <v>269</v>
      </c>
      <c r="B28" s="127">
        <f>'Parameter Values'!C70</f>
        <v>780</v>
      </c>
      <c r="C28" s="188"/>
    </row>
    <row r="29" spans="1:74" x14ac:dyDescent="0.35">
      <c r="A29" s="35" t="s">
        <v>270</v>
      </c>
      <c r="B29" s="127">
        <f>'Parameter Values'!C71</f>
        <v>780</v>
      </c>
      <c r="C29" s="188"/>
    </row>
    <row r="30" spans="1:74" x14ac:dyDescent="0.35">
      <c r="A30" s="5" t="s">
        <v>203</v>
      </c>
    </row>
    <row r="31" spans="1:74" ht="15" thickBot="1" x14ac:dyDescent="0.4">
      <c r="A31" s="95" t="s">
        <v>276</v>
      </c>
      <c r="B31" s="129"/>
      <c r="C31" s="129"/>
      <c r="D31" s="129"/>
      <c r="E31" s="129"/>
      <c r="F31" s="129"/>
    </row>
    <row r="32" spans="1:74" ht="16.5" x14ac:dyDescent="0.45">
      <c r="A32" s="104" t="s">
        <v>4</v>
      </c>
      <c r="B32" s="107" t="s">
        <v>324</v>
      </c>
      <c r="C32" s="107" t="s">
        <v>325</v>
      </c>
      <c r="D32" s="107"/>
      <c r="E32" s="107"/>
      <c r="F32" s="107"/>
      <c r="G32" s="107" t="s">
        <v>222</v>
      </c>
      <c r="H32" s="105" t="s">
        <v>223</v>
      </c>
      <c r="I32" s="107" t="s">
        <v>224</v>
      </c>
      <c r="J32" s="105" t="s">
        <v>225</v>
      </c>
      <c r="K32" s="107" t="s">
        <v>226</v>
      </c>
      <c r="L32" s="105" t="s">
        <v>227</v>
      </c>
      <c r="M32" s="107"/>
      <c r="N32" s="105"/>
      <c r="O32" s="108" t="s">
        <v>228</v>
      </c>
      <c r="P32" s="109" t="s">
        <v>229</v>
      </c>
      <c r="Q32" s="109" t="s">
        <v>230</v>
      </c>
      <c r="R32" s="109"/>
      <c r="S32" s="105" t="s">
        <v>326</v>
      </c>
      <c r="T32" s="207"/>
      <c r="AA32" s="10" t="s">
        <v>159</v>
      </c>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2"/>
    </row>
    <row r="33" spans="1:74" x14ac:dyDescent="0.35">
      <c r="A33" s="6">
        <f>'Project Information'!$B$9</f>
        <v>2033</v>
      </c>
      <c r="B33" s="130">
        <v>0</v>
      </c>
      <c r="C33" s="130">
        <v>0</v>
      </c>
      <c r="D33" s="189"/>
      <c r="E33" s="193"/>
      <c r="F33" s="6"/>
      <c r="G33" s="27">
        <v>0</v>
      </c>
      <c r="H33" s="27">
        <v>0</v>
      </c>
      <c r="I33" s="27">
        <v>0</v>
      </c>
      <c r="J33" s="27">
        <v>0</v>
      </c>
      <c r="K33" s="27">
        <v>0</v>
      </c>
      <c r="L33" s="27">
        <v>0</v>
      </c>
      <c r="M33" s="197"/>
      <c r="N33" s="198"/>
      <c r="O33" s="19">
        <f>IFERROR(VLOOKUP($A33,'Parameter Values'!$A$78:$E$107,2,FALSE),'Parameter Values'!B$107)</f>
        <v>23800</v>
      </c>
      <c r="P33" s="19">
        <f>IFERROR(VLOOKUP($A33,'Parameter Values'!$A$78:$E$107,3,FALSE),'Parameter Values'!C$107)</f>
        <v>64500</v>
      </c>
      <c r="Q33" s="19">
        <f>IFERROR(VLOOKUP($A33,'Parameter Values'!$A$78:$E$107,4,FALSE),'Parameter Values'!D$107)</f>
        <v>1140500</v>
      </c>
      <c r="R33" s="203"/>
      <c r="S33" s="204">
        <f>(B33-C33)+((G33-H33)*O33)+((I33-J33)*P33)+((K33-L33)*Q33)</f>
        <v>0</v>
      </c>
      <c r="T33" s="208"/>
      <c r="AA33" s="1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s="14"/>
    </row>
    <row r="34" spans="1:74" x14ac:dyDescent="0.35">
      <c r="A34" s="1">
        <f>IF(A33&lt;'Project Information'!B$11,A33+1,"")</f>
        <v>2034</v>
      </c>
      <c r="B34" s="130">
        <v>0</v>
      </c>
      <c r="C34" s="130">
        <v>0</v>
      </c>
      <c r="D34" s="190"/>
      <c r="E34" s="194"/>
      <c r="F34" s="1"/>
      <c r="G34" s="27">
        <v>0</v>
      </c>
      <c r="H34" s="27">
        <v>0</v>
      </c>
      <c r="I34" s="27">
        <v>0</v>
      </c>
      <c r="J34" s="27">
        <v>0</v>
      </c>
      <c r="K34" s="27">
        <v>0</v>
      </c>
      <c r="L34" s="27">
        <v>0</v>
      </c>
      <c r="M34" s="199"/>
      <c r="N34" s="200"/>
      <c r="O34" s="19">
        <f>IFERROR(VLOOKUP($A34,'Parameter Values'!$A$78:$E$107,2,FALSE),'Parameter Values'!B$107)</f>
        <v>23800</v>
      </c>
      <c r="P34" s="19">
        <f>IFERROR(VLOOKUP($A34,'Parameter Values'!$A$78:$E$107,3,FALSE),'Parameter Values'!C$107)</f>
        <v>64500</v>
      </c>
      <c r="Q34" s="19">
        <f>IFERROR(VLOOKUP($A34,'Parameter Values'!$A$78:$E$107,4,FALSE),'Parameter Values'!D$107)</f>
        <v>1140500</v>
      </c>
      <c r="R34" s="19"/>
      <c r="S34" s="205">
        <f t="shared" ref="S34:S62" si="0">(B34-C34)+((G34-H34)*O34)+((I34-J34)*P34)+((K34-L34)*Q34)</f>
        <v>0</v>
      </c>
      <c r="T34" s="208"/>
      <c r="AA34" s="13"/>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s="14"/>
    </row>
    <row r="35" spans="1:74" x14ac:dyDescent="0.35">
      <c r="A35" s="1">
        <f>IF(A34&lt;'Project Information'!B$11,A34+1,"")</f>
        <v>2035</v>
      </c>
      <c r="B35" s="130">
        <v>0</v>
      </c>
      <c r="C35" s="130">
        <v>0</v>
      </c>
      <c r="D35" s="190"/>
      <c r="E35" s="194"/>
      <c r="F35" s="1"/>
      <c r="G35" s="27">
        <v>0</v>
      </c>
      <c r="H35" s="27">
        <v>0</v>
      </c>
      <c r="I35" s="27">
        <v>0</v>
      </c>
      <c r="J35" s="27">
        <v>0</v>
      </c>
      <c r="K35" s="27">
        <v>0</v>
      </c>
      <c r="L35" s="27">
        <v>0</v>
      </c>
      <c r="M35" s="199"/>
      <c r="N35" s="200"/>
      <c r="O35" s="19">
        <f>IFERROR(VLOOKUP($A35,'Parameter Values'!$A$78:$E$107,2,FALSE),'Parameter Values'!B$107)</f>
        <v>23800</v>
      </c>
      <c r="P35" s="19">
        <f>IFERROR(VLOOKUP($A35,'Parameter Values'!$A$78:$E$107,3,FALSE),'Parameter Values'!C$107)</f>
        <v>64500</v>
      </c>
      <c r="Q35" s="19">
        <f>IFERROR(VLOOKUP($A35,'Parameter Values'!$A$78:$E$107,4,FALSE),'Parameter Values'!D$107)</f>
        <v>1140500</v>
      </c>
      <c r="R35" s="19"/>
      <c r="S35" s="205">
        <f t="shared" si="0"/>
        <v>0</v>
      </c>
      <c r="T35" s="208"/>
      <c r="AA35" s="13"/>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s="14"/>
    </row>
    <row r="36" spans="1:74" x14ac:dyDescent="0.35">
      <c r="A36" s="1">
        <f>IF(A35&lt;'Project Information'!B$11,A35+1,"")</f>
        <v>2036</v>
      </c>
      <c r="B36" s="130">
        <v>0</v>
      </c>
      <c r="C36" s="130">
        <v>0</v>
      </c>
      <c r="D36" s="190"/>
      <c r="E36" s="194"/>
      <c r="F36" s="1"/>
      <c r="G36" s="27">
        <v>0</v>
      </c>
      <c r="H36" s="27">
        <v>0</v>
      </c>
      <c r="I36" s="27">
        <v>0</v>
      </c>
      <c r="J36" s="27">
        <v>0</v>
      </c>
      <c r="K36" s="27">
        <v>0</v>
      </c>
      <c r="L36" s="27">
        <v>0</v>
      </c>
      <c r="M36" s="199"/>
      <c r="N36" s="200"/>
      <c r="O36" s="19">
        <f>IFERROR(VLOOKUP($A36,'Parameter Values'!$A$78:$E$107,2,FALSE),'Parameter Values'!B$107)</f>
        <v>23800</v>
      </c>
      <c r="P36" s="19">
        <f>IFERROR(VLOOKUP($A36,'Parameter Values'!$A$78:$E$107,3,FALSE),'Parameter Values'!C$107)</f>
        <v>64500</v>
      </c>
      <c r="Q36" s="19">
        <f>IFERROR(VLOOKUP($A36,'Parameter Values'!$A$78:$E$107,4,FALSE),'Parameter Values'!D$107)</f>
        <v>1140500</v>
      </c>
      <c r="R36" s="19"/>
      <c r="S36" s="205">
        <f t="shared" si="0"/>
        <v>0</v>
      </c>
      <c r="T36" s="208"/>
      <c r="AA36" s="13"/>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s="14"/>
    </row>
    <row r="37" spans="1:74" x14ac:dyDescent="0.35">
      <c r="A37" s="1">
        <f>IF(A36&lt;'Project Information'!B$11,A36+1,"")</f>
        <v>2037</v>
      </c>
      <c r="B37" s="130">
        <v>0</v>
      </c>
      <c r="C37" s="130">
        <v>0</v>
      </c>
      <c r="D37" s="190"/>
      <c r="E37" s="194"/>
      <c r="F37" s="1"/>
      <c r="G37" s="27">
        <v>0</v>
      </c>
      <c r="H37" s="27">
        <v>0</v>
      </c>
      <c r="I37" s="27">
        <v>0</v>
      </c>
      <c r="J37" s="27">
        <v>0</v>
      </c>
      <c r="K37" s="27">
        <v>0</v>
      </c>
      <c r="L37" s="27">
        <v>0</v>
      </c>
      <c r="M37" s="199"/>
      <c r="N37" s="200"/>
      <c r="O37" s="19">
        <f>IFERROR(VLOOKUP($A37,'Parameter Values'!$A$78:$E$107,2,FALSE),'Parameter Values'!B$107)</f>
        <v>23800</v>
      </c>
      <c r="P37" s="19">
        <f>IFERROR(VLOOKUP($A37,'Parameter Values'!$A$78:$E$107,3,FALSE),'Parameter Values'!C$107)</f>
        <v>64500</v>
      </c>
      <c r="Q37" s="19">
        <f>IFERROR(VLOOKUP($A37,'Parameter Values'!$A$78:$E$107,4,FALSE),'Parameter Values'!D$107)</f>
        <v>1140500</v>
      </c>
      <c r="R37" s="19"/>
      <c r="S37" s="205">
        <f t="shared" si="0"/>
        <v>0</v>
      </c>
      <c r="T37" s="208"/>
      <c r="AA37" s="13"/>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s="14"/>
    </row>
    <row r="38" spans="1:74" x14ac:dyDescent="0.35">
      <c r="A38" s="1">
        <f>IF(A37&lt;'Project Information'!B$11,A37+1,"")</f>
        <v>2038</v>
      </c>
      <c r="B38" s="130">
        <v>0</v>
      </c>
      <c r="C38" s="130">
        <v>0</v>
      </c>
      <c r="D38" s="190"/>
      <c r="E38" s="194"/>
      <c r="F38" s="1"/>
      <c r="G38" s="27">
        <v>0</v>
      </c>
      <c r="H38" s="27">
        <v>0</v>
      </c>
      <c r="I38" s="27">
        <v>0</v>
      </c>
      <c r="J38" s="27">
        <v>0</v>
      </c>
      <c r="K38" s="27">
        <v>0</v>
      </c>
      <c r="L38" s="27">
        <v>0</v>
      </c>
      <c r="M38" s="199"/>
      <c r="N38" s="200"/>
      <c r="O38" s="19">
        <f>IFERROR(VLOOKUP($A38,'Parameter Values'!$A$78:$E$107,2,FALSE),'Parameter Values'!B$107)</f>
        <v>23800</v>
      </c>
      <c r="P38" s="19">
        <f>IFERROR(VLOOKUP($A38,'Parameter Values'!$A$78:$E$107,3,FALSE),'Parameter Values'!C$107)</f>
        <v>64500</v>
      </c>
      <c r="Q38" s="19">
        <f>IFERROR(VLOOKUP($A38,'Parameter Values'!$A$78:$E$107,4,FALSE),'Parameter Values'!D$107)</f>
        <v>1140500</v>
      </c>
      <c r="R38" s="19"/>
      <c r="S38" s="205">
        <f t="shared" si="0"/>
        <v>0</v>
      </c>
      <c r="T38" s="208"/>
      <c r="AA38" s="13"/>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s="14"/>
    </row>
    <row r="39" spans="1:74" x14ac:dyDescent="0.35">
      <c r="A39" s="1">
        <f>IF(A38&lt;'Project Information'!B$11,A38+1,"")</f>
        <v>2039</v>
      </c>
      <c r="B39" s="130">
        <v>0</v>
      </c>
      <c r="C39" s="130">
        <v>0</v>
      </c>
      <c r="D39" s="190"/>
      <c r="E39" s="194"/>
      <c r="F39" s="1"/>
      <c r="G39" s="27">
        <v>0</v>
      </c>
      <c r="H39" s="27">
        <v>0</v>
      </c>
      <c r="I39" s="27">
        <v>0</v>
      </c>
      <c r="J39" s="27">
        <v>0</v>
      </c>
      <c r="K39" s="27">
        <v>0</v>
      </c>
      <c r="L39" s="27">
        <v>0</v>
      </c>
      <c r="M39" s="199"/>
      <c r="N39" s="200"/>
      <c r="O39" s="19">
        <f>IFERROR(VLOOKUP($A39,'Parameter Values'!$A$78:$E$107,2,FALSE),'Parameter Values'!B$107)</f>
        <v>23800</v>
      </c>
      <c r="P39" s="19">
        <f>IFERROR(VLOOKUP($A39,'Parameter Values'!$A$78:$E$107,3,FALSE),'Parameter Values'!C$107)</f>
        <v>64500</v>
      </c>
      <c r="Q39" s="19">
        <f>IFERROR(VLOOKUP($A39,'Parameter Values'!$A$78:$E$107,4,FALSE),'Parameter Values'!D$107)</f>
        <v>1140500</v>
      </c>
      <c r="R39" s="19"/>
      <c r="S39" s="205">
        <f t="shared" si="0"/>
        <v>0</v>
      </c>
      <c r="T39" s="208"/>
      <c r="AA39" s="13"/>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s="14"/>
    </row>
    <row r="40" spans="1:74" x14ac:dyDescent="0.35">
      <c r="A40" s="1">
        <f>IF(A39&lt;'Project Information'!B$11,A39+1,"")</f>
        <v>2040</v>
      </c>
      <c r="B40" s="130">
        <v>0</v>
      </c>
      <c r="C40" s="130">
        <v>0</v>
      </c>
      <c r="D40" s="190"/>
      <c r="E40" s="194"/>
      <c r="F40" s="1"/>
      <c r="G40" s="27">
        <v>0</v>
      </c>
      <c r="H40" s="27">
        <v>0</v>
      </c>
      <c r="I40" s="27">
        <v>0</v>
      </c>
      <c r="J40" s="27">
        <v>0</v>
      </c>
      <c r="K40" s="27">
        <v>0</v>
      </c>
      <c r="L40" s="27">
        <v>0</v>
      </c>
      <c r="M40" s="199"/>
      <c r="N40" s="200"/>
      <c r="O40" s="19">
        <f>IFERROR(VLOOKUP($A40,'Parameter Values'!$A$78:$E$107,2,FALSE),'Parameter Values'!B$107)</f>
        <v>23800</v>
      </c>
      <c r="P40" s="19">
        <f>IFERROR(VLOOKUP($A40,'Parameter Values'!$A$78:$E$107,3,FALSE),'Parameter Values'!C$107)</f>
        <v>64500</v>
      </c>
      <c r="Q40" s="19">
        <f>IFERROR(VLOOKUP($A40,'Parameter Values'!$A$78:$E$107,4,FALSE),'Parameter Values'!D$107)</f>
        <v>1140500</v>
      </c>
      <c r="R40" s="19"/>
      <c r="S40" s="205">
        <f t="shared" si="0"/>
        <v>0</v>
      </c>
      <c r="T40" s="208"/>
      <c r="AA40" s="13"/>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s="14"/>
    </row>
    <row r="41" spans="1:74" x14ac:dyDescent="0.35">
      <c r="A41" s="1">
        <f>IF(A40&lt;'Project Information'!B$11,A40+1,"")</f>
        <v>2041</v>
      </c>
      <c r="B41" s="130">
        <v>0</v>
      </c>
      <c r="C41" s="130">
        <v>0</v>
      </c>
      <c r="D41" s="190"/>
      <c r="E41" s="194"/>
      <c r="F41" s="1"/>
      <c r="G41" s="27">
        <v>0</v>
      </c>
      <c r="H41" s="27">
        <v>0</v>
      </c>
      <c r="I41" s="27">
        <v>0</v>
      </c>
      <c r="J41" s="27">
        <v>0</v>
      </c>
      <c r="K41" s="27">
        <v>0</v>
      </c>
      <c r="L41" s="27">
        <v>0</v>
      </c>
      <c r="M41" s="199"/>
      <c r="N41" s="200"/>
      <c r="O41" s="19">
        <f>IFERROR(VLOOKUP($A41,'Parameter Values'!$A$78:$E$107,2,FALSE),'Parameter Values'!B$107)</f>
        <v>23800</v>
      </c>
      <c r="P41" s="19">
        <f>IFERROR(VLOOKUP($A41,'Parameter Values'!$A$78:$E$107,3,FALSE),'Parameter Values'!C$107)</f>
        <v>64500</v>
      </c>
      <c r="Q41" s="19">
        <f>IFERROR(VLOOKUP($A41,'Parameter Values'!$A$78:$E$107,4,FALSE),'Parameter Values'!D$107)</f>
        <v>1140500</v>
      </c>
      <c r="R41" s="19"/>
      <c r="S41" s="205">
        <f t="shared" si="0"/>
        <v>0</v>
      </c>
      <c r="T41" s="208"/>
      <c r="AA41" s="13"/>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s="14"/>
    </row>
    <row r="42" spans="1:74" x14ac:dyDescent="0.35">
      <c r="A42" s="1">
        <f>IF(A41&lt;'Project Information'!B$11,A41+1,"")</f>
        <v>2042</v>
      </c>
      <c r="B42" s="130">
        <v>0</v>
      </c>
      <c r="C42" s="130">
        <v>0</v>
      </c>
      <c r="D42" s="190"/>
      <c r="E42" s="194"/>
      <c r="F42" s="1"/>
      <c r="G42" s="27">
        <v>0</v>
      </c>
      <c r="H42" s="27">
        <v>0</v>
      </c>
      <c r="I42" s="27">
        <v>0</v>
      </c>
      <c r="J42" s="27">
        <v>0</v>
      </c>
      <c r="K42" s="27">
        <v>0</v>
      </c>
      <c r="L42" s="27">
        <v>0</v>
      </c>
      <c r="M42" s="199"/>
      <c r="N42" s="200"/>
      <c r="O42" s="19">
        <f>IFERROR(VLOOKUP($A42,'Parameter Values'!$A$78:$E$107,2,FALSE),'Parameter Values'!B$107)</f>
        <v>23800</v>
      </c>
      <c r="P42" s="19">
        <f>IFERROR(VLOOKUP($A42,'Parameter Values'!$A$78:$E$107,3,FALSE),'Parameter Values'!C$107)</f>
        <v>64500</v>
      </c>
      <c r="Q42" s="19">
        <f>IFERROR(VLOOKUP($A42,'Parameter Values'!$A$78:$E$107,4,FALSE),'Parameter Values'!D$107)</f>
        <v>1140500</v>
      </c>
      <c r="R42" s="19"/>
      <c r="S42" s="205">
        <f t="shared" si="0"/>
        <v>0</v>
      </c>
      <c r="T42" s="208"/>
      <c r="AA42" s="13"/>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s="14"/>
    </row>
    <row r="43" spans="1:74" x14ac:dyDescent="0.35">
      <c r="A43" s="1">
        <f>IF(A42&lt;'Project Information'!B$11,A42+1,"")</f>
        <v>2043</v>
      </c>
      <c r="B43" s="130">
        <v>0</v>
      </c>
      <c r="C43" s="130">
        <v>0</v>
      </c>
      <c r="D43" s="190"/>
      <c r="E43" s="194"/>
      <c r="F43" s="1"/>
      <c r="G43" s="27">
        <v>0</v>
      </c>
      <c r="H43" s="27">
        <v>0</v>
      </c>
      <c r="I43" s="27">
        <v>0</v>
      </c>
      <c r="J43" s="27">
        <v>0</v>
      </c>
      <c r="K43" s="27">
        <v>0</v>
      </c>
      <c r="L43" s="27">
        <v>0</v>
      </c>
      <c r="M43" s="199"/>
      <c r="N43" s="200"/>
      <c r="O43" s="19">
        <f>IFERROR(VLOOKUP($A43,'Parameter Values'!$A$78:$E$107,2,FALSE),'Parameter Values'!B$107)</f>
        <v>23800</v>
      </c>
      <c r="P43" s="19">
        <f>IFERROR(VLOOKUP($A43,'Parameter Values'!$A$78:$E$107,3,FALSE),'Parameter Values'!C$107)</f>
        <v>64500</v>
      </c>
      <c r="Q43" s="19">
        <f>IFERROR(VLOOKUP($A43,'Parameter Values'!$A$78:$E$107,4,FALSE),'Parameter Values'!D$107)</f>
        <v>1140500</v>
      </c>
      <c r="R43" s="19"/>
      <c r="S43" s="205">
        <f t="shared" si="0"/>
        <v>0</v>
      </c>
      <c r="T43" s="208"/>
      <c r="AA43" s="1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s="14"/>
    </row>
    <row r="44" spans="1:74" x14ac:dyDescent="0.35">
      <c r="A44" s="1">
        <f>IF(A43&lt;'Project Information'!B$11,A43+1,"")</f>
        <v>2044</v>
      </c>
      <c r="B44" s="130">
        <v>0</v>
      </c>
      <c r="C44" s="130">
        <v>0</v>
      </c>
      <c r="D44" s="190"/>
      <c r="E44" s="194"/>
      <c r="F44" s="1"/>
      <c r="G44" s="27">
        <v>0</v>
      </c>
      <c r="H44" s="27">
        <v>0</v>
      </c>
      <c r="I44" s="27">
        <v>0</v>
      </c>
      <c r="J44" s="27">
        <v>0</v>
      </c>
      <c r="K44" s="27">
        <v>0</v>
      </c>
      <c r="L44" s="27">
        <v>0</v>
      </c>
      <c r="M44" s="199"/>
      <c r="N44" s="200"/>
      <c r="O44" s="19">
        <f>IFERROR(VLOOKUP($A44,'Parameter Values'!$A$78:$E$107,2,FALSE),'Parameter Values'!B$107)</f>
        <v>23800</v>
      </c>
      <c r="P44" s="19">
        <f>IFERROR(VLOOKUP($A44,'Parameter Values'!$A$78:$E$107,3,FALSE),'Parameter Values'!C$107)</f>
        <v>64500</v>
      </c>
      <c r="Q44" s="19">
        <f>IFERROR(VLOOKUP($A44,'Parameter Values'!$A$78:$E$107,4,FALSE),'Parameter Values'!D$107)</f>
        <v>1140500</v>
      </c>
      <c r="R44" s="19"/>
      <c r="S44" s="205">
        <f t="shared" si="0"/>
        <v>0</v>
      </c>
      <c r="T44" s="208"/>
      <c r="AA44" s="13"/>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s="14"/>
    </row>
    <row r="45" spans="1:74" x14ac:dyDescent="0.35">
      <c r="A45" s="1">
        <f>IF(A44&lt;'Project Information'!B$11,A44+1,"")</f>
        <v>2045</v>
      </c>
      <c r="B45" s="130">
        <v>0</v>
      </c>
      <c r="C45" s="130">
        <v>0</v>
      </c>
      <c r="D45" s="190"/>
      <c r="E45" s="194"/>
      <c r="F45" s="1"/>
      <c r="G45" s="27">
        <v>0</v>
      </c>
      <c r="H45" s="27">
        <v>0</v>
      </c>
      <c r="I45" s="27">
        <v>0</v>
      </c>
      <c r="J45" s="27">
        <v>0</v>
      </c>
      <c r="K45" s="27">
        <v>0</v>
      </c>
      <c r="L45" s="27">
        <v>0</v>
      </c>
      <c r="M45" s="199"/>
      <c r="N45" s="200"/>
      <c r="O45" s="19">
        <f>IFERROR(VLOOKUP($A45,'Parameter Values'!$A$78:$E$107,2,FALSE),'Parameter Values'!B$107)</f>
        <v>23800</v>
      </c>
      <c r="P45" s="19">
        <f>IFERROR(VLOOKUP($A45,'Parameter Values'!$A$78:$E$107,3,FALSE),'Parameter Values'!C$107)</f>
        <v>64500</v>
      </c>
      <c r="Q45" s="19">
        <f>IFERROR(VLOOKUP($A45,'Parameter Values'!$A$78:$E$107,4,FALSE),'Parameter Values'!D$107)</f>
        <v>1140500</v>
      </c>
      <c r="R45" s="19"/>
      <c r="S45" s="205">
        <f t="shared" si="0"/>
        <v>0</v>
      </c>
      <c r="T45" s="208"/>
      <c r="AA45" s="13"/>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s="14"/>
    </row>
    <row r="46" spans="1:74" x14ac:dyDescent="0.35">
      <c r="A46" s="1">
        <f>IF(A45&lt;'Project Information'!B$11,A45+1,"")</f>
        <v>2046</v>
      </c>
      <c r="B46" s="130">
        <v>0</v>
      </c>
      <c r="C46" s="130">
        <v>0</v>
      </c>
      <c r="D46" s="190"/>
      <c r="E46" s="194"/>
      <c r="F46" s="1"/>
      <c r="G46" s="27">
        <v>0</v>
      </c>
      <c r="H46" s="27">
        <v>0</v>
      </c>
      <c r="I46" s="27">
        <v>0</v>
      </c>
      <c r="J46" s="27">
        <v>0</v>
      </c>
      <c r="K46" s="27">
        <v>0</v>
      </c>
      <c r="L46" s="27">
        <v>0</v>
      </c>
      <c r="M46" s="199"/>
      <c r="N46" s="200"/>
      <c r="O46" s="19">
        <f>IFERROR(VLOOKUP($A46,'Parameter Values'!$A$78:$E$107,2,FALSE),'Parameter Values'!B$107)</f>
        <v>23800</v>
      </c>
      <c r="P46" s="19">
        <f>IFERROR(VLOOKUP($A46,'Parameter Values'!$A$78:$E$107,3,FALSE),'Parameter Values'!C$107)</f>
        <v>64500</v>
      </c>
      <c r="Q46" s="19">
        <f>IFERROR(VLOOKUP($A46,'Parameter Values'!$A$78:$E$107,4,FALSE),'Parameter Values'!D$107)</f>
        <v>1140500</v>
      </c>
      <c r="R46" s="19"/>
      <c r="S46" s="205">
        <f t="shared" si="0"/>
        <v>0</v>
      </c>
      <c r="T46" s="208"/>
      <c r="AA46" s="13"/>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s="14"/>
    </row>
    <row r="47" spans="1:74" x14ac:dyDescent="0.35">
      <c r="A47" s="1">
        <f>IF(A46&lt;'Project Information'!B$11,A46+1,"")</f>
        <v>2047</v>
      </c>
      <c r="B47" s="130">
        <v>0</v>
      </c>
      <c r="C47" s="130">
        <v>0</v>
      </c>
      <c r="D47" s="190"/>
      <c r="E47" s="194"/>
      <c r="F47" s="1"/>
      <c r="G47" s="27">
        <v>0</v>
      </c>
      <c r="H47" s="27">
        <v>0</v>
      </c>
      <c r="I47" s="27">
        <v>0</v>
      </c>
      <c r="J47" s="27">
        <v>0</v>
      </c>
      <c r="K47" s="27">
        <v>0</v>
      </c>
      <c r="L47" s="27">
        <v>0</v>
      </c>
      <c r="M47" s="199"/>
      <c r="N47" s="200"/>
      <c r="O47" s="19">
        <f>IFERROR(VLOOKUP($A47,'Parameter Values'!$A$78:$E$107,2,FALSE),'Parameter Values'!B$107)</f>
        <v>23800</v>
      </c>
      <c r="P47" s="19">
        <f>IFERROR(VLOOKUP($A47,'Parameter Values'!$A$78:$E$107,3,FALSE),'Parameter Values'!C$107)</f>
        <v>64500</v>
      </c>
      <c r="Q47" s="19">
        <f>IFERROR(VLOOKUP($A47,'Parameter Values'!$A$78:$E$107,4,FALSE),'Parameter Values'!D$107)</f>
        <v>1140500</v>
      </c>
      <c r="R47" s="19"/>
      <c r="S47" s="205">
        <f t="shared" si="0"/>
        <v>0</v>
      </c>
      <c r="T47" s="208"/>
      <c r="AA47" s="13"/>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s="14"/>
    </row>
    <row r="48" spans="1:74" x14ac:dyDescent="0.35">
      <c r="A48" s="1">
        <f>IF(A47&lt;'Project Information'!B$11,A47+1,"")</f>
        <v>2048</v>
      </c>
      <c r="B48" s="130">
        <v>0</v>
      </c>
      <c r="C48" s="130">
        <v>0</v>
      </c>
      <c r="D48" s="190"/>
      <c r="E48" s="194"/>
      <c r="F48" s="1"/>
      <c r="G48" s="27">
        <v>0</v>
      </c>
      <c r="H48" s="27">
        <v>0</v>
      </c>
      <c r="I48" s="27">
        <v>0</v>
      </c>
      <c r="J48" s="27">
        <v>0</v>
      </c>
      <c r="K48" s="27">
        <v>0</v>
      </c>
      <c r="L48" s="27">
        <v>0</v>
      </c>
      <c r="M48" s="199"/>
      <c r="N48" s="200"/>
      <c r="O48" s="19">
        <f>IFERROR(VLOOKUP($A48,'Parameter Values'!$A$78:$E$107,2,FALSE),'Parameter Values'!B$107)</f>
        <v>23800</v>
      </c>
      <c r="P48" s="19">
        <f>IFERROR(VLOOKUP($A48,'Parameter Values'!$A$78:$E$107,3,FALSE),'Parameter Values'!C$107)</f>
        <v>64500</v>
      </c>
      <c r="Q48" s="19">
        <f>IFERROR(VLOOKUP($A48,'Parameter Values'!$A$78:$E$107,4,FALSE),'Parameter Values'!D$107)</f>
        <v>1140500</v>
      </c>
      <c r="R48" s="19"/>
      <c r="S48" s="205">
        <f t="shared" si="0"/>
        <v>0</v>
      </c>
      <c r="T48" s="208"/>
      <c r="AA48" s="13"/>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s="14"/>
    </row>
    <row r="49" spans="1:74" x14ac:dyDescent="0.35">
      <c r="A49" s="1">
        <f>IF(A48&lt;'Project Information'!B$11,A48+1,"")</f>
        <v>2049</v>
      </c>
      <c r="B49" s="130">
        <v>0</v>
      </c>
      <c r="C49" s="130">
        <v>0</v>
      </c>
      <c r="D49" s="190"/>
      <c r="E49" s="194"/>
      <c r="F49" s="1"/>
      <c r="G49" s="27">
        <v>0</v>
      </c>
      <c r="H49" s="27">
        <v>0</v>
      </c>
      <c r="I49" s="27">
        <v>0</v>
      </c>
      <c r="J49" s="27">
        <v>0</v>
      </c>
      <c r="K49" s="27">
        <v>0</v>
      </c>
      <c r="L49" s="27">
        <v>0</v>
      </c>
      <c r="M49" s="199"/>
      <c r="N49" s="200"/>
      <c r="O49" s="19">
        <f>IFERROR(VLOOKUP($A49,'Parameter Values'!$A$78:$E$107,2,FALSE),'Parameter Values'!B$107)</f>
        <v>23800</v>
      </c>
      <c r="P49" s="19">
        <f>IFERROR(VLOOKUP($A49,'Parameter Values'!$A$78:$E$107,3,FALSE),'Parameter Values'!C$107)</f>
        <v>64500</v>
      </c>
      <c r="Q49" s="19">
        <f>IFERROR(VLOOKUP($A49,'Parameter Values'!$A$78:$E$107,4,FALSE),'Parameter Values'!D$107)</f>
        <v>1140500</v>
      </c>
      <c r="R49" s="19"/>
      <c r="S49" s="205">
        <f t="shared" si="0"/>
        <v>0</v>
      </c>
      <c r="T49" s="208"/>
      <c r="AA49" s="13"/>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s="14"/>
    </row>
    <row r="50" spans="1:74" x14ac:dyDescent="0.35">
      <c r="A50" s="1">
        <f>IF(A49&lt;'Project Information'!B$11,A49+1,"")</f>
        <v>2050</v>
      </c>
      <c r="B50" s="130">
        <v>0</v>
      </c>
      <c r="C50" s="130">
        <v>0</v>
      </c>
      <c r="D50" s="190"/>
      <c r="E50" s="194"/>
      <c r="F50" s="1"/>
      <c r="G50" s="27">
        <v>0</v>
      </c>
      <c r="H50" s="27">
        <v>0</v>
      </c>
      <c r="I50" s="27">
        <v>0</v>
      </c>
      <c r="J50" s="27">
        <v>0</v>
      </c>
      <c r="K50" s="27">
        <v>0</v>
      </c>
      <c r="L50" s="27">
        <v>0</v>
      </c>
      <c r="M50" s="199"/>
      <c r="N50" s="200"/>
      <c r="O50" s="19">
        <f>IFERROR(VLOOKUP($A50,'Parameter Values'!$A$78:$E$107,2,FALSE),'Parameter Values'!B$107)</f>
        <v>23800</v>
      </c>
      <c r="P50" s="19">
        <f>IFERROR(VLOOKUP($A50,'Parameter Values'!$A$78:$E$107,3,FALSE),'Parameter Values'!C$107)</f>
        <v>64500</v>
      </c>
      <c r="Q50" s="19">
        <f>IFERROR(VLOOKUP($A50,'Parameter Values'!$A$78:$E$107,4,FALSE),'Parameter Values'!D$107)</f>
        <v>1140500</v>
      </c>
      <c r="R50" s="19"/>
      <c r="S50" s="205">
        <f t="shared" si="0"/>
        <v>0</v>
      </c>
      <c r="T50" s="208"/>
      <c r="AA50" s="13"/>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s="14"/>
    </row>
    <row r="51" spans="1:74" x14ac:dyDescent="0.35">
      <c r="A51" s="1">
        <f>IF(A50&lt;'Project Information'!B$11,A50+1,"")</f>
        <v>2051</v>
      </c>
      <c r="B51" s="130">
        <v>0</v>
      </c>
      <c r="C51" s="130">
        <v>0</v>
      </c>
      <c r="D51" s="190"/>
      <c r="E51" s="194"/>
      <c r="F51" s="1"/>
      <c r="G51" s="27">
        <v>0</v>
      </c>
      <c r="H51" s="27">
        <v>0</v>
      </c>
      <c r="I51" s="27">
        <v>0</v>
      </c>
      <c r="J51" s="27">
        <v>0</v>
      </c>
      <c r="K51" s="27">
        <v>0</v>
      </c>
      <c r="L51" s="27">
        <v>0</v>
      </c>
      <c r="M51" s="199"/>
      <c r="N51" s="200"/>
      <c r="O51" s="19">
        <f>IFERROR(VLOOKUP($A51,'Parameter Values'!$A$78:$E$107,2,FALSE),'Parameter Values'!B$107)</f>
        <v>23800</v>
      </c>
      <c r="P51" s="19">
        <f>IFERROR(VLOOKUP($A51,'Parameter Values'!$A$78:$E$107,3,FALSE),'Parameter Values'!C$107)</f>
        <v>64500</v>
      </c>
      <c r="Q51" s="19">
        <f>IFERROR(VLOOKUP($A51,'Parameter Values'!$A$78:$E$107,4,FALSE),'Parameter Values'!D$107)</f>
        <v>1140500</v>
      </c>
      <c r="R51" s="19"/>
      <c r="S51" s="205">
        <f t="shared" si="0"/>
        <v>0</v>
      </c>
      <c r="T51" s="208"/>
      <c r="AA51" s="13"/>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s="14"/>
    </row>
    <row r="52" spans="1:74" x14ac:dyDescent="0.35">
      <c r="A52" s="1">
        <f>IF(A51&lt;'Project Information'!B$11,A51+1,"")</f>
        <v>2052</v>
      </c>
      <c r="B52" s="130">
        <v>0</v>
      </c>
      <c r="C52" s="130">
        <v>0</v>
      </c>
      <c r="D52" s="190"/>
      <c r="E52" s="194"/>
      <c r="F52" s="1"/>
      <c r="G52" s="27">
        <v>0</v>
      </c>
      <c r="H52" s="27">
        <v>0</v>
      </c>
      <c r="I52" s="27">
        <v>0</v>
      </c>
      <c r="J52" s="27">
        <v>0</v>
      </c>
      <c r="K52" s="27">
        <v>0</v>
      </c>
      <c r="L52" s="27">
        <v>0</v>
      </c>
      <c r="M52" s="199"/>
      <c r="N52" s="200"/>
      <c r="O52" s="19">
        <f>IFERROR(VLOOKUP($A52,'Parameter Values'!$A$78:$E$107,2,FALSE),'Parameter Values'!B$107)</f>
        <v>23800</v>
      </c>
      <c r="P52" s="19">
        <f>IFERROR(VLOOKUP($A52,'Parameter Values'!$A$78:$E$107,3,FALSE),'Parameter Values'!C$107)</f>
        <v>64500</v>
      </c>
      <c r="Q52" s="19">
        <f>IFERROR(VLOOKUP($A52,'Parameter Values'!$A$78:$E$107,4,FALSE),'Parameter Values'!D$107)</f>
        <v>1140500</v>
      </c>
      <c r="R52" s="19"/>
      <c r="S52" s="205">
        <f t="shared" si="0"/>
        <v>0</v>
      </c>
      <c r="T52" s="208"/>
      <c r="AA52" s="13"/>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s="14"/>
    </row>
    <row r="53" spans="1:74" x14ac:dyDescent="0.35">
      <c r="A53" s="1" t="str">
        <f>IF(A52&lt;'Project Information'!B$11,A52+1,"")</f>
        <v/>
      </c>
      <c r="B53" s="130">
        <v>0</v>
      </c>
      <c r="C53" s="130">
        <v>0</v>
      </c>
      <c r="D53" s="191"/>
      <c r="E53" s="195"/>
      <c r="F53" s="1"/>
      <c r="G53" s="27">
        <v>0</v>
      </c>
      <c r="H53" s="27">
        <v>0</v>
      </c>
      <c r="I53" s="27">
        <v>0</v>
      </c>
      <c r="J53" s="27">
        <v>0</v>
      </c>
      <c r="K53" s="27">
        <v>0</v>
      </c>
      <c r="L53" s="27">
        <v>0</v>
      </c>
      <c r="M53" s="199"/>
      <c r="N53" s="200"/>
      <c r="O53" s="19">
        <f>IFERROR(VLOOKUP($A53,'Parameter Values'!$A$78:$E$107,2,FALSE),'Parameter Values'!B$107)</f>
        <v>23800</v>
      </c>
      <c r="P53" s="19">
        <f>IFERROR(VLOOKUP($A53,'Parameter Values'!$A$78:$E$107,3,FALSE),'Parameter Values'!C$107)</f>
        <v>64500</v>
      </c>
      <c r="Q53" s="19">
        <f>IFERROR(VLOOKUP($A53,'Parameter Values'!$A$78:$E$107,4,FALSE),'Parameter Values'!D$107)</f>
        <v>1140500</v>
      </c>
      <c r="R53" s="19"/>
      <c r="S53" s="205">
        <f t="shared" si="0"/>
        <v>0</v>
      </c>
      <c r="T53" s="208"/>
      <c r="AA53" s="1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s="14"/>
    </row>
    <row r="54" spans="1:74" x14ac:dyDescent="0.35">
      <c r="A54" s="1" t="str">
        <f>IF(A53&lt;'Project Information'!B$11,A53+1,"")</f>
        <v/>
      </c>
      <c r="B54" s="130">
        <v>0</v>
      </c>
      <c r="C54" s="130">
        <v>0</v>
      </c>
      <c r="D54" s="191"/>
      <c r="E54" s="195"/>
      <c r="F54" s="1"/>
      <c r="G54" s="27">
        <v>0</v>
      </c>
      <c r="H54" s="27">
        <v>0</v>
      </c>
      <c r="I54" s="27">
        <v>0</v>
      </c>
      <c r="J54" s="27">
        <v>0</v>
      </c>
      <c r="K54" s="27">
        <v>0</v>
      </c>
      <c r="L54" s="27">
        <v>0</v>
      </c>
      <c r="M54" s="199"/>
      <c r="N54" s="200"/>
      <c r="O54" s="19">
        <f>IFERROR(VLOOKUP($A54,'Parameter Values'!$A$78:$E$107,2,FALSE),'Parameter Values'!B$107)</f>
        <v>23800</v>
      </c>
      <c r="P54" s="19">
        <f>IFERROR(VLOOKUP($A54,'Parameter Values'!$A$78:$E$107,3,FALSE),'Parameter Values'!C$107)</f>
        <v>64500</v>
      </c>
      <c r="Q54" s="19">
        <f>IFERROR(VLOOKUP($A54,'Parameter Values'!$A$78:$E$107,4,FALSE),'Parameter Values'!D$107)</f>
        <v>1140500</v>
      </c>
      <c r="R54" s="19"/>
      <c r="S54" s="205">
        <f t="shared" si="0"/>
        <v>0</v>
      </c>
      <c r="T54" s="208"/>
      <c r="AA54" s="13"/>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s="14"/>
    </row>
    <row r="55" spans="1:74" x14ac:dyDescent="0.35">
      <c r="A55" s="1" t="str">
        <f>IF(A54&lt;'Project Information'!B$11,A54+1,"")</f>
        <v/>
      </c>
      <c r="B55" s="130">
        <v>0</v>
      </c>
      <c r="C55" s="130">
        <v>0</v>
      </c>
      <c r="D55" s="191"/>
      <c r="E55" s="195"/>
      <c r="F55" s="1"/>
      <c r="G55" s="27">
        <v>0</v>
      </c>
      <c r="H55" s="27">
        <v>0</v>
      </c>
      <c r="I55" s="27">
        <v>0</v>
      </c>
      <c r="J55" s="27">
        <v>0</v>
      </c>
      <c r="K55" s="27">
        <v>0</v>
      </c>
      <c r="L55" s="27">
        <v>0</v>
      </c>
      <c r="M55" s="199"/>
      <c r="N55" s="200"/>
      <c r="O55" s="19">
        <f>IFERROR(VLOOKUP($A55,'Parameter Values'!$A$78:$E$107,2,FALSE),'Parameter Values'!B$107)</f>
        <v>23800</v>
      </c>
      <c r="P55" s="19">
        <f>IFERROR(VLOOKUP($A55,'Parameter Values'!$A$78:$E$107,3,FALSE),'Parameter Values'!C$107)</f>
        <v>64500</v>
      </c>
      <c r="Q55" s="19">
        <f>IFERROR(VLOOKUP($A55,'Parameter Values'!$A$78:$E$107,4,FALSE),'Parameter Values'!D$107)</f>
        <v>1140500</v>
      </c>
      <c r="R55" s="19"/>
      <c r="S55" s="205">
        <f t="shared" si="0"/>
        <v>0</v>
      </c>
      <c r="T55" s="208"/>
      <c r="AA55" s="13"/>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s="14"/>
    </row>
    <row r="56" spans="1:74" x14ac:dyDescent="0.35">
      <c r="A56" s="1" t="str">
        <f>IF(A55&lt;'Project Information'!B$11,A55+1,"")</f>
        <v/>
      </c>
      <c r="B56" s="130">
        <v>0</v>
      </c>
      <c r="C56" s="130">
        <v>0</v>
      </c>
      <c r="D56" s="191"/>
      <c r="E56" s="195"/>
      <c r="F56" s="1"/>
      <c r="G56" s="27">
        <v>0</v>
      </c>
      <c r="H56" s="27">
        <v>0</v>
      </c>
      <c r="I56" s="27">
        <v>0</v>
      </c>
      <c r="J56" s="27">
        <v>0</v>
      </c>
      <c r="K56" s="27">
        <v>0</v>
      </c>
      <c r="L56" s="27">
        <v>0</v>
      </c>
      <c r="M56" s="199"/>
      <c r="N56" s="200"/>
      <c r="O56" s="19">
        <f>IFERROR(VLOOKUP($A56,'Parameter Values'!$A$78:$E$107,2,FALSE),'Parameter Values'!B$107)</f>
        <v>23800</v>
      </c>
      <c r="P56" s="19">
        <f>IFERROR(VLOOKUP($A56,'Parameter Values'!$A$78:$E$107,3,FALSE),'Parameter Values'!C$107)</f>
        <v>64500</v>
      </c>
      <c r="Q56" s="19">
        <f>IFERROR(VLOOKUP($A56,'Parameter Values'!$A$78:$E$107,4,FALSE),'Parameter Values'!D$107)</f>
        <v>1140500</v>
      </c>
      <c r="R56" s="19"/>
      <c r="S56" s="205">
        <f t="shared" si="0"/>
        <v>0</v>
      </c>
      <c r="T56" s="208"/>
      <c r="AA56" s="13"/>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s="14"/>
    </row>
    <row r="57" spans="1:74" x14ac:dyDescent="0.35">
      <c r="A57" s="1" t="str">
        <f>IF(A56&lt;'Project Information'!B$11,A56+1,"")</f>
        <v/>
      </c>
      <c r="B57" s="130">
        <v>0</v>
      </c>
      <c r="C57" s="130">
        <v>0</v>
      </c>
      <c r="D57" s="191"/>
      <c r="E57" s="195"/>
      <c r="F57" s="1"/>
      <c r="G57" s="27">
        <v>0</v>
      </c>
      <c r="H57" s="27">
        <v>0</v>
      </c>
      <c r="I57" s="27">
        <v>0</v>
      </c>
      <c r="J57" s="27">
        <v>0</v>
      </c>
      <c r="K57" s="27">
        <v>0</v>
      </c>
      <c r="L57" s="27">
        <v>0</v>
      </c>
      <c r="M57" s="199"/>
      <c r="N57" s="200"/>
      <c r="O57" s="19">
        <f>IFERROR(VLOOKUP($A57,'Parameter Values'!$A$78:$E$107,2,FALSE),'Parameter Values'!B$107)</f>
        <v>23800</v>
      </c>
      <c r="P57" s="19">
        <f>IFERROR(VLOOKUP($A57,'Parameter Values'!$A$78:$E$107,3,FALSE),'Parameter Values'!C$107)</f>
        <v>64500</v>
      </c>
      <c r="Q57" s="19">
        <f>IFERROR(VLOOKUP($A57,'Parameter Values'!$A$78:$E$107,4,FALSE),'Parameter Values'!D$107)</f>
        <v>1140500</v>
      </c>
      <c r="R57" s="19"/>
      <c r="S57" s="205">
        <f t="shared" si="0"/>
        <v>0</v>
      </c>
      <c r="T57" s="208"/>
      <c r="AA57" s="13"/>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s="14"/>
    </row>
    <row r="58" spans="1:74" x14ac:dyDescent="0.35">
      <c r="A58" s="1" t="str">
        <f>IF(A57&lt;'Project Information'!B$11,A57+1,"")</f>
        <v/>
      </c>
      <c r="B58" s="130">
        <v>0</v>
      </c>
      <c r="C58" s="130">
        <v>0</v>
      </c>
      <c r="D58" s="191"/>
      <c r="E58" s="195"/>
      <c r="F58" s="1"/>
      <c r="G58" s="27">
        <v>0</v>
      </c>
      <c r="H58" s="27">
        <v>0</v>
      </c>
      <c r="I58" s="27">
        <v>0</v>
      </c>
      <c r="J58" s="27">
        <v>0</v>
      </c>
      <c r="K58" s="27">
        <v>0</v>
      </c>
      <c r="L58" s="27">
        <v>0</v>
      </c>
      <c r="M58" s="199"/>
      <c r="N58" s="200"/>
      <c r="O58" s="19">
        <f>IFERROR(VLOOKUP($A58,'Parameter Values'!$A$78:$E$107,2,FALSE),'Parameter Values'!B$107)</f>
        <v>23800</v>
      </c>
      <c r="P58" s="19">
        <f>IFERROR(VLOOKUP($A58,'Parameter Values'!$A$78:$E$107,3,FALSE),'Parameter Values'!C$107)</f>
        <v>64500</v>
      </c>
      <c r="Q58" s="19">
        <f>IFERROR(VLOOKUP($A58,'Parameter Values'!$A$78:$E$107,4,FALSE),'Parameter Values'!D$107)</f>
        <v>1140500</v>
      </c>
      <c r="R58" s="19"/>
      <c r="S58" s="205">
        <f t="shared" si="0"/>
        <v>0</v>
      </c>
      <c r="T58" s="208"/>
      <c r="AA58" s="13"/>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s="14"/>
    </row>
    <row r="59" spans="1:74" x14ac:dyDescent="0.35">
      <c r="A59" s="1" t="str">
        <f>IF(A58&lt;'Project Information'!B$11,A58+1,"")</f>
        <v/>
      </c>
      <c r="B59" s="130">
        <v>0</v>
      </c>
      <c r="C59" s="130">
        <v>0</v>
      </c>
      <c r="D59" s="191"/>
      <c r="E59" s="195"/>
      <c r="F59" s="1"/>
      <c r="G59" s="27">
        <v>0</v>
      </c>
      <c r="H59" s="27">
        <v>0</v>
      </c>
      <c r="I59" s="27">
        <v>0</v>
      </c>
      <c r="J59" s="27">
        <v>0</v>
      </c>
      <c r="K59" s="27">
        <v>0</v>
      </c>
      <c r="L59" s="27">
        <v>0</v>
      </c>
      <c r="M59" s="199"/>
      <c r="N59" s="200"/>
      <c r="O59" s="19">
        <f>IFERROR(VLOOKUP($A59,'Parameter Values'!$A$78:$E$107,2,FALSE),'Parameter Values'!B$107)</f>
        <v>23800</v>
      </c>
      <c r="P59" s="19">
        <f>IFERROR(VLOOKUP($A59,'Parameter Values'!$A$78:$E$107,3,FALSE),'Parameter Values'!C$107)</f>
        <v>64500</v>
      </c>
      <c r="Q59" s="19">
        <f>IFERROR(VLOOKUP($A59,'Parameter Values'!$A$78:$E$107,4,FALSE),'Parameter Values'!D$107)</f>
        <v>1140500</v>
      </c>
      <c r="R59" s="19"/>
      <c r="S59" s="205">
        <f t="shared" si="0"/>
        <v>0</v>
      </c>
      <c r="T59" s="208"/>
      <c r="AA59" s="13"/>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s="14"/>
    </row>
    <row r="60" spans="1:74" x14ac:dyDescent="0.35">
      <c r="A60" s="1" t="str">
        <f>IF(A59&lt;'Project Information'!B$11,A59+1,"")</f>
        <v/>
      </c>
      <c r="B60" s="130">
        <v>0</v>
      </c>
      <c r="C60" s="130">
        <v>0</v>
      </c>
      <c r="D60" s="191"/>
      <c r="E60" s="195"/>
      <c r="F60" s="1"/>
      <c r="G60" s="27">
        <v>0</v>
      </c>
      <c r="H60" s="27">
        <v>0</v>
      </c>
      <c r="I60" s="27">
        <v>0</v>
      </c>
      <c r="J60" s="27">
        <v>0</v>
      </c>
      <c r="K60" s="27">
        <v>0</v>
      </c>
      <c r="L60" s="27">
        <v>0</v>
      </c>
      <c r="M60" s="199"/>
      <c r="N60" s="200"/>
      <c r="O60" s="19">
        <f>IFERROR(VLOOKUP($A60,'Parameter Values'!$A$78:$E$107,2,FALSE),'Parameter Values'!B$107)</f>
        <v>23800</v>
      </c>
      <c r="P60" s="19">
        <f>IFERROR(VLOOKUP($A60,'Parameter Values'!$A$78:$E$107,3,FALSE),'Parameter Values'!C$107)</f>
        <v>64500</v>
      </c>
      <c r="Q60" s="19">
        <f>IFERROR(VLOOKUP($A60,'Parameter Values'!$A$78:$E$107,4,FALSE),'Parameter Values'!D$107)</f>
        <v>1140500</v>
      </c>
      <c r="R60" s="19"/>
      <c r="S60" s="205">
        <f t="shared" si="0"/>
        <v>0</v>
      </c>
      <c r="T60" s="208"/>
      <c r="AA60" s="13"/>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s="14"/>
    </row>
    <row r="61" spans="1:74" x14ac:dyDescent="0.35">
      <c r="A61" s="1" t="str">
        <f>IF(A60&lt;'Project Information'!B$11,A60+1,"")</f>
        <v/>
      </c>
      <c r="B61" s="130">
        <v>0</v>
      </c>
      <c r="C61" s="130">
        <v>0</v>
      </c>
      <c r="D61" s="191"/>
      <c r="E61" s="195"/>
      <c r="F61" s="1"/>
      <c r="G61" s="27">
        <v>0</v>
      </c>
      <c r="H61" s="27">
        <v>0</v>
      </c>
      <c r="I61" s="27">
        <v>0</v>
      </c>
      <c r="J61" s="27">
        <v>0</v>
      </c>
      <c r="K61" s="27">
        <v>0</v>
      </c>
      <c r="L61" s="27">
        <v>0</v>
      </c>
      <c r="M61" s="199"/>
      <c r="N61" s="200"/>
      <c r="O61" s="19">
        <f>IFERROR(VLOOKUP($A61,'Parameter Values'!$A$78:$E$107,2,FALSE),'Parameter Values'!B$107)</f>
        <v>23800</v>
      </c>
      <c r="P61" s="19">
        <f>IFERROR(VLOOKUP($A61,'Parameter Values'!$A$78:$E$107,3,FALSE),'Parameter Values'!C$107)</f>
        <v>64500</v>
      </c>
      <c r="Q61" s="19">
        <f>IFERROR(VLOOKUP($A61,'Parameter Values'!$A$78:$E$107,4,FALSE),'Parameter Values'!D$107)</f>
        <v>1140500</v>
      </c>
      <c r="R61" s="19"/>
      <c r="S61" s="205">
        <f t="shared" si="0"/>
        <v>0</v>
      </c>
      <c r="T61" s="208"/>
      <c r="AA61" s="13"/>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s="14"/>
    </row>
    <row r="62" spans="1:74" x14ac:dyDescent="0.35">
      <c r="A62" s="1" t="str">
        <f>IF(A61&lt;'Project Information'!B$11,A61+1,"")</f>
        <v/>
      </c>
      <c r="B62" s="131">
        <v>0</v>
      </c>
      <c r="C62" s="131">
        <v>0</v>
      </c>
      <c r="D62" s="192"/>
      <c r="E62" s="196"/>
      <c r="F62" s="2"/>
      <c r="G62" s="34">
        <v>0</v>
      </c>
      <c r="H62" s="34">
        <v>0</v>
      </c>
      <c r="I62" s="34">
        <v>0</v>
      </c>
      <c r="J62" s="34">
        <v>0</v>
      </c>
      <c r="K62" s="34">
        <v>0</v>
      </c>
      <c r="L62" s="34">
        <v>0</v>
      </c>
      <c r="M62" s="201"/>
      <c r="N62" s="202"/>
      <c r="O62" s="20">
        <f>IFERROR(VLOOKUP($A62,'Parameter Values'!$A$78:$E$107,2,FALSE),'Parameter Values'!B$107)</f>
        <v>23800</v>
      </c>
      <c r="P62" s="20">
        <f>IFERROR(VLOOKUP($A62,'Parameter Values'!$A$78:$E$107,3,FALSE),'Parameter Values'!C$107)</f>
        <v>64500</v>
      </c>
      <c r="Q62" s="20">
        <f>IFERROR(VLOOKUP($A62,'Parameter Values'!$A$78:$E$107,4,FALSE),'Parameter Values'!D$107)</f>
        <v>1140500</v>
      </c>
      <c r="R62" s="20"/>
      <c r="S62" s="206">
        <f t="shared" si="0"/>
        <v>0</v>
      </c>
      <c r="T62" s="208"/>
      <c r="AA62" s="13"/>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s="14"/>
    </row>
    <row r="63" spans="1:74" x14ac:dyDescent="0.35">
      <c r="AA63" s="1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s="14"/>
    </row>
    <row r="64" spans="1:74" x14ac:dyDescent="0.35">
      <c r="AA64" s="13"/>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s="14"/>
    </row>
    <row r="65" spans="27:74" x14ac:dyDescent="0.35">
      <c r="AA65" s="13"/>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s="14"/>
    </row>
    <row r="66" spans="27:74" x14ac:dyDescent="0.35">
      <c r="AA66" s="13"/>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s="14"/>
    </row>
    <row r="67" spans="27:74" x14ac:dyDescent="0.35">
      <c r="AA67" s="13"/>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s="14"/>
    </row>
    <row r="68" spans="27:74" x14ac:dyDescent="0.35">
      <c r="AA68" s="13"/>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s="14"/>
    </row>
    <row r="69" spans="27:74" x14ac:dyDescent="0.35">
      <c r="AA69" s="13"/>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s="14"/>
    </row>
    <row r="70" spans="27:74" x14ac:dyDescent="0.35">
      <c r="AA70" s="13"/>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s="14"/>
    </row>
    <row r="71" spans="27:74" x14ac:dyDescent="0.35">
      <c r="AA71" s="13"/>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s="14"/>
    </row>
    <row r="72" spans="27:74" x14ac:dyDescent="0.35">
      <c r="AA72" s="13"/>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s="14"/>
    </row>
    <row r="73" spans="27:74" x14ac:dyDescent="0.35">
      <c r="AA73" s="1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s="14"/>
    </row>
    <row r="74" spans="27:74" x14ac:dyDescent="0.35">
      <c r="AA74" s="13"/>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s="14"/>
    </row>
    <row r="75" spans="27:74" x14ac:dyDescent="0.35">
      <c r="AA75" s="13"/>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s="14"/>
    </row>
    <row r="76" spans="27:74" x14ac:dyDescent="0.35">
      <c r="AA76" s="13"/>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s="14"/>
    </row>
    <row r="77" spans="27:74" x14ac:dyDescent="0.35">
      <c r="AA77" s="13"/>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s="14"/>
    </row>
    <row r="78" spans="27:74" x14ac:dyDescent="0.35">
      <c r="AA78" s="13"/>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s="14"/>
    </row>
    <row r="79" spans="27:74" x14ac:dyDescent="0.35">
      <c r="AA79" s="13"/>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s="14"/>
    </row>
    <row r="80" spans="27:74" x14ac:dyDescent="0.35">
      <c r="AA80" s="13"/>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s="14"/>
    </row>
    <row r="81" spans="27:74" x14ac:dyDescent="0.35">
      <c r="AA81" s="13"/>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s="14"/>
    </row>
    <row r="82" spans="27:74" x14ac:dyDescent="0.35">
      <c r="AA82" s="13"/>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s="14"/>
    </row>
    <row r="83" spans="27:74" x14ac:dyDescent="0.35">
      <c r="AA83" s="1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s="14"/>
    </row>
    <row r="84" spans="27:74" x14ac:dyDescent="0.35">
      <c r="AA84" s="13"/>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s="14"/>
    </row>
    <row r="85" spans="27:74" x14ac:dyDescent="0.35">
      <c r="AA85" s="13"/>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s="14"/>
    </row>
    <row r="86" spans="27:74" x14ac:dyDescent="0.35">
      <c r="AA86" s="13"/>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s="14"/>
    </row>
    <row r="87" spans="27:74" x14ac:dyDescent="0.35">
      <c r="AA87" s="13"/>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s="14"/>
    </row>
    <row r="88" spans="27:74" x14ac:dyDescent="0.35">
      <c r="AA88" s="13"/>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s="14"/>
    </row>
    <row r="89" spans="27:74" x14ac:dyDescent="0.35">
      <c r="AA89" s="13"/>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s="14"/>
    </row>
    <row r="90" spans="27:74" x14ac:dyDescent="0.35">
      <c r="AA90" s="13"/>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s="14"/>
    </row>
    <row r="91" spans="27:74" x14ac:dyDescent="0.35">
      <c r="AA91" s="13"/>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s="14"/>
    </row>
    <row r="92" spans="27:74" x14ac:dyDescent="0.35">
      <c r="AA92" s="13"/>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s="14"/>
    </row>
    <row r="93" spans="27:74" x14ac:dyDescent="0.35">
      <c r="AA93" s="1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s="14"/>
    </row>
    <row r="94" spans="27:74" x14ac:dyDescent="0.35">
      <c r="AA94" s="13"/>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s="14"/>
    </row>
    <row r="95" spans="27:74" x14ac:dyDescent="0.35">
      <c r="AA95" s="13"/>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s="14"/>
    </row>
    <row r="96" spans="27:74" x14ac:dyDescent="0.35">
      <c r="AA96" s="13"/>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s="14"/>
    </row>
    <row r="97" spans="27:74" x14ac:dyDescent="0.35">
      <c r="AA97" s="13"/>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s="14"/>
    </row>
    <row r="98" spans="27:74" x14ac:dyDescent="0.35">
      <c r="AA98" s="13"/>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s="14"/>
    </row>
    <row r="99" spans="27:74" x14ac:dyDescent="0.35">
      <c r="AA99" s="13"/>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s="14"/>
    </row>
    <row r="100" spans="27:74" x14ac:dyDescent="0.35">
      <c r="AA100" s="13"/>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s="14"/>
    </row>
    <row r="101" spans="27:74" x14ac:dyDescent="0.35">
      <c r="AA101" s="13"/>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s="14"/>
    </row>
    <row r="102" spans="27:74" x14ac:dyDescent="0.35">
      <c r="AA102" s="13"/>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s="14"/>
    </row>
    <row r="103" spans="27:74" x14ac:dyDescent="0.35">
      <c r="AA103" s="1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s="14"/>
    </row>
    <row r="104" spans="27:74" x14ac:dyDescent="0.35">
      <c r="AA104" s="13"/>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s="14"/>
    </row>
    <row r="105" spans="27:74" x14ac:dyDescent="0.35">
      <c r="AA105" s="13"/>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s="14"/>
    </row>
    <row r="106" spans="27:74" x14ac:dyDescent="0.35">
      <c r="AA106" s="13"/>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s="14"/>
    </row>
    <row r="107" spans="27:74" x14ac:dyDescent="0.35">
      <c r="AA107" s="13"/>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s="14"/>
    </row>
    <row r="108" spans="27:74" x14ac:dyDescent="0.35">
      <c r="AA108" s="13"/>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s="14"/>
    </row>
    <row r="109" spans="27:74" x14ac:dyDescent="0.35">
      <c r="AA109" s="13"/>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s="14"/>
    </row>
    <row r="110" spans="27:74" x14ac:dyDescent="0.35">
      <c r="AA110" s="13"/>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s="14"/>
    </row>
    <row r="111" spans="27:74" x14ac:dyDescent="0.35">
      <c r="AA111" s="13"/>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s="14"/>
    </row>
    <row r="112" spans="27:74" ht="15" thickBot="1" x14ac:dyDescent="0.4">
      <c r="AA112" s="15"/>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7"/>
    </row>
  </sheetData>
  <conditionalFormatting sqref="B33:E62">
    <cfRule type="expression" dxfId="9" priority="1">
      <formula>$A33=""</formula>
    </cfRule>
  </conditionalFormatting>
  <conditionalFormatting sqref="G33:N62">
    <cfRule type="expression" dxfId="8" priority="2">
      <formula>$A33=""</formula>
    </cfRule>
  </conditionalFormatting>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F779B-5621-4FD7-9FF5-8762E5B5030F}">
  <sheetPr>
    <tabColor theme="9" tint="0.39997558519241921"/>
  </sheetPr>
  <dimension ref="A1:BA99"/>
  <sheetViews>
    <sheetView workbookViewId="0"/>
  </sheetViews>
  <sheetFormatPr defaultColWidth="9.1796875" defaultRowHeight="14.5" x14ac:dyDescent="0.35"/>
  <cols>
    <col min="1" max="1" width="32" style="5" customWidth="1"/>
    <col min="2" max="2" width="24.453125" style="5" customWidth="1"/>
    <col min="3" max="3" width="25.7265625" style="5" customWidth="1"/>
    <col min="4" max="4" width="24.453125" style="5" customWidth="1"/>
    <col min="5" max="10" width="9.1796875" style="5"/>
    <col min="11" max="11" width="10.26953125" style="5" customWidth="1"/>
    <col min="12" max="16384" width="9.1796875" style="5"/>
  </cols>
  <sheetData>
    <row r="1" spans="1:11" ht="20" thickBot="1" x14ac:dyDescent="0.5">
      <c r="A1" s="94" t="s">
        <v>314</v>
      </c>
    </row>
    <row r="2" spans="1:11" ht="15" thickTop="1" x14ac:dyDescent="0.35">
      <c r="A2" s="144" t="s">
        <v>237</v>
      </c>
      <c r="B2" s="144"/>
      <c r="C2" s="144"/>
      <c r="D2" s="144"/>
      <c r="E2" s="144"/>
      <c r="F2" s="144"/>
      <c r="G2" s="144"/>
      <c r="H2" s="144"/>
      <c r="I2" s="144"/>
    </row>
    <row r="3" spans="1:11" x14ac:dyDescent="0.35">
      <c r="A3" s="5" t="s">
        <v>203</v>
      </c>
    </row>
    <row r="4" spans="1:11" x14ac:dyDescent="0.35">
      <c r="A4" s="145" t="s">
        <v>344</v>
      </c>
      <c r="B4" s="144"/>
      <c r="C4" s="144"/>
      <c r="D4" s="144"/>
      <c r="E4" s="144"/>
      <c r="F4" s="144"/>
      <c r="G4" s="144"/>
      <c r="H4" s="144"/>
      <c r="I4" s="144"/>
      <c r="J4" s="144"/>
      <c r="K4" s="144"/>
    </row>
    <row r="5" spans="1:11" x14ac:dyDescent="0.35">
      <c r="A5" s="38" t="s">
        <v>203</v>
      </c>
    </row>
    <row r="6" spans="1:11" x14ac:dyDescent="0.35">
      <c r="A6" s="95" t="s">
        <v>238</v>
      </c>
    </row>
    <row r="7" spans="1:11" x14ac:dyDescent="0.35">
      <c r="A7" s="114" t="s">
        <v>142</v>
      </c>
      <c r="B7" s="152" t="s">
        <v>251</v>
      </c>
      <c r="C7" s="153" t="s">
        <v>252</v>
      </c>
      <c r="D7" s="154" t="s">
        <v>253</v>
      </c>
    </row>
    <row r="8" spans="1:11" x14ac:dyDescent="0.35">
      <c r="A8" s="43" t="str">
        <f>'Parameter Values'!A231</f>
        <v>Light-Duty Vehicles - Urban</v>
      </c>
      <c r="B8" s="135">
        <f>'Parameter Values'!B231</f>
        <v>0.14699999999999999</v>
      </c>
      <c r="C8" s="136">
        <f>'Parameter Values'!C231</f>
        <v>2.0999999999999999E-3</v>
      </c>
      <c r="D8" s="134">
        <f>'Parameter Values'!D231</f>
        <v>1.9E-2</v>
      </c>
    </row>
    <row r="9" spans="1:11" x14ac:dyDescent="0.35">
      <c r="A9" s="43" t="str">
        <f>'Parameter Values'!A232</f>
        <v>Light-Duty Vehicles - Rural</v>
      </c>
      <c r="B9" s="135">
        <f>'Parameter Values'!B232</f>
        <v>3.1E-2</v>
      </c>
      <c r="C9" s="136">
        <f>'Parameter Values'!C232</f>
        <v>2.0000000000000001E-4</v>
      </c>
      <c r="D9" s="134">
        <f>'Parameter Values'!D232</f>
        <v>0.105</v>
      </c>
    </row>
    <row r="10" spans="1:11" x14ac:dyDescent="0.35">
      <c r="A10" s="43" t="str">
        <f>'Parameter Values'!A233</f>
        <v>Light-Duty Vehicles – All Locations</v>
      </c>
      <c r="B10" s="135">
        <f>'Parameter Values'!B233</f>
        <v>0.124</v>
      </c>
      <c r="C10" s="136">
        <f>'Parameter Values'!C233</f>
        <v>1.1000000000000001E-3</v>
      </c>
      <c r="D10" s="134">
        <f>'Parameter Values'!D233</f>
        <v>4.2999999999999997E-2</v>
      </c>
    </row>
    <row r="11" spans="1:11" x14ac:dyDescent="0.35">
      <c r="A11" s="43" t="str">
        <f>'Parameter Values'!A234</f>
        <v>Buses and Trucks - Urban</v>
      </c>
      <c r="B11" s="394">
        <f>'Parameter Values'!B234</f>
        <v>0.36699999999999999</v>
      </c>
      <c r="C11" s="136">
        <f>'Parameter Values'!C234</f>
        <v>4.65E-2</v>
      </c>
      <c r="D11" s="134">
        <f>'Parameter Values'!D234</f>
        <v>1.7000000000000001E-2</v>
      </c>
    </row>
    <row r="12" spans="1:11" x14ac:dyDescent="0.35">
      <c r="A12" s="43" t="str">
        <f>'Parameter Values'!A235</f>
        <v>Buses and Trucks - Rural</v>
      </c>
      <c r="B12" s="135">
        <f>'Parameter Values'!B235</f>
        <v>0.08</v>
      </c>
      <c r="C12" s="136">
        <f>'Parameter Values'!C235</f>
        <v>3.8999999999999998E-3</v>
      </c>
      <c r="D12" s="134">
        <f>'Parameter Values'!D235</f>
        <v>0.03</v>
      </c>
    </row>
    <row r="13" spans="1:11" x14ac:dyDescent="0.35">
      <c r="A13" s="43" t="str">
        <f>'Parameter Values'!A236</f>
        <v>Buses and Trucks – All Locations</v>
      </c>
      <c r="B13" s="135">
        <f>'Parameter Values'!B236</f>
        <v>0.251</v>
      </c>
      <c r="C13" s="136">
        <f>'Parameter Values'!C236</f>
        <v>2.3400000000000001E-2</v>
      </c>
      <c r="D13" s="134">
        <f>'Parameter Values'!D236</f>
        <v>2.3E-2</v>
      </c>
    </row>
    <row r="14" spans="1:11" x14ac:dyDescent="0.35">
      <c r="A14" s="43" t="str">
        <f>'Parameter Values'!A237</f>
        <v>All Vehicles - Urban</v>
      </c>
      <c r="B14" s="135">
        <f>'Parameter Values'!B237</f>
        <v>0.16300000000000001</v>
      </c>
      <c r="C14" s="136">
        <f>'Parameter Values'!C237</f>
        <v>5.4000000000000003E-3</v>
      </c>
      <c r="D14" s="134">
        <f>'Parameter Values'!D237</f>
        <v>1.9E-2</v>
      </c>
    </row>
    <row r="15" spans="1:11" x14ac:dyDescent="0.35">
      <c r="A15" s="43" t="str">
        <f>'Parameter Values'!A238</f>
        <v>All Vehicles - Rural</v>
      </c>
      <c r="B15" s="135">
        <f>'Parameter Values'!B238</f>
        <v>3.7999999999999999E-2</v>
      </c>
      <c r="C15" s="136">
        <f>'Parameter Values'!C238</f>
        <v>6.9999999999999999E-4</v>
      </c>
      <c r="D15" s="134">
        <f>'Parameter Values'!D238</f>
        <v>9.4E-2</v>
      </c>
    </row>
    <row r="16" spans="1:11" x14ac:dyDescent="0.35">
      <c r="A16" s="43" t="str">
        <f>'Parameter Values'!A239</f>
        <v>All Vehicles – All Locations</v>
      </c>
      <c r="B16" s="135">
        <f>'Parameter Values'!B239</f>
        <v>0.13600000000000001</v>
      </c>
      <c r="C16" s="136">
        <f>'Parameter Values'!C239</f>
        <v>3.3E-3</v>
      </c>
      <c r="D16" s="134">
        <f>'Parameter Values'!D239</f>
        <v>4.1000000000000002E-2</v>
      </c>
    </row>
    <row r="17" spans="1:53" x14ac:dyDescent="0.35">
      <c r="A17" s="38" t="s">
        <v>203</v>
      </c>
    </row>
    <row r="18" spans="1:53" ht="15" thickBot="1" x14ac:dyDescent="0.4">
      <c r="A18" s="95" t="s">
        <v>254</v>
      </c>
    </row>
    <row r="19" spans="1:53" x14ac:dyDescent="0.35">
      <c r="A19" s="104" t="s">
        <v>4</v>
      </c>
      <c r="B19" s="105" t="s">
        <v>250</v>
      </c>
      <c r="F19" s="10" t="s">
        <v>159</v>
      </c>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2"/>
    </row>
    <row r="20" spans="1:53" x14ac:dyDescent="0.35">
      <c r="A20" s="6">
        <f>'Project Information'!$B$9</f>
        <v>2033</v>
      </c>
      <c r="B20" s="156">
        <v>0</v>
      </c>
      <c r="F20" s="13"/>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s="14"/>
    </row>
    <row r="21" spans="1:53" x14ac:dyDescent="0.35">
      <c r="A21" s="1">
        <f>IF(A20&lt;'Project Information'!B$11,A20+1,"")</f>
        <v>2034</v>
      </c>
      <c r="B21" s="156">
        <v>0</v>
      </c>
      <c r="F21" s="13"/>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s="14"/>
    </row>
    <row r="22" spans="1:53" x14ac:dyDescent="0.35">
      <c r="A22" s="1">
        <f>IF(A21&lt;'Project Information'!B$11,A21+1,"")</f>
        <v>2035</v>
      </c>
      <c r="B22" s="156">
        <v>0</v>
      </c>
      <c r="F22" s="13"/>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s="14"/>
    </row>
    <row r="23" spans="1:53" x14ac:dyDescent="0.35">
      <c r="A23" s="1">
        <f>IF(A22&lt;'Project Information'!B$11,A22+1,"")</f>
        <v>2036</v>
      </c>
      <c r="B23" s="156">
        <v>0</v>
      </c>
      <c r="F23" s="1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s="14"/>
    </row>
    <row r="24" spans="1:53" x14ac:dyDescent="0.35">
      <c r="A24" s="1">
        <f>IF(A23&lt;'Project Information'!B$11,A23+1,"")</f>
        <v>2037</v>
      </c>
      <c r="B24" s="156">
        <v>0</v>
      </c>
      <c r="F24" s="13"/>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s="14"/>
    </row>
    <row r="25" spans="1:53" x14ac:dyDescent="0.35">
      <c r="A25" s="1">
        <f>IF(A24&lt;'Project Information'!B$11,A24+1,"")</f>
        <v>2038</v>
      </c>
      <c r="B25" s="156">
        <v>0</v>
      </c>
      <c r="F25" s="13"/>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s="14"/>
    </row>
    <row r="26" spans="1:53" x14ac:dyDescent="0.35">
      <c r="A26" s="1">
        <f>IF(A25&lt;'Project Information'!B$11,A25+1,"")</f>
        <v>2039</v>
      </c>
      <c r="B26" s="156">
        <v>0</v>
      </c>
      <c r="F26" s="13"/>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s="14"/>
    </row>
    <row r="27" spans="1:53" x14ac:dyDescent="0.35">
      <c r="A27" s="1">
        <f>IF(A26&lt;'Project Information'!B$11,A26+1,"")</f>
        <v>2040</v>
      </c>
      <c r="B27" s="156">
        <v>0</v>
      </c>
      <c r="F27" s="13"/>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s="14"/>
    </row>
    <row r="28" spans="1:53" x14ac:dyDescent="0.35">
      <c r="A28" s="1">
        <f>IF(A27&lt;'Project Information'!B$11,A27+1,"")</f>
        <v>2041</v>
      </c>
      <c r="B28" s="156">
        <v>0</v>
      </c>
      <c r="F28" s="13"/>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s="14"/>
    </row>
    <row r="29" spans="1:53" x14ac:dyDescent="0.35">
      <c r="A29" s="1">
        <f>IF(A28&lt;'Project Information'!B$11,A28+1,"")</f>
        <v>2042</v>
      </c>
      <c r="B29" s="156">
        <v>0</v>
      </c>
      <c r="F29" s="13"/>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s="14"/>
    </row>
    <row r="30" spans="1:53" x14ac:dyDescent="0.35">
      <c r="A30" s="1">
        <f>IF(A29&lt;'Project Information'!B$11,A29+1,"")</f>
        <v>2043</v>
      </c>
      <c r="B30" s="156">
        <v>0</v>
      </c>
      <c r="F30" s="13"/>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s="14"/>
    </row>
    <row r="31" spans="1:53" x14ac:dyDescent="0.35">
      <c r="A31" s="1">
        <f>IF(A30&lt;'Project Information'!B$11,A30+1,"")</f>
        <v>2044</v>
      </c>
      <c r="B31" s="156">
        <v>0</v>
      </c>
      <c r="F31" s="13"/>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s="14"/>
    </row>
    <row r="32" spans="1:53" x14ac:dyDescent="0.35">
      <c r="A32" s="1">
        <f>IF(A31&lt;'Project Information'!B$11,A31+1,"")</f>
        <v>2045</v>
      </c>
      <c r="B32" s="156">
        <v>0</v>
      </c>
      <c r="F32" s="13"/>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s="14"/>
    </row>
    <row r="33" spans="1:53" x14ac:dyDescent="0.35">
      <c r="A33" s="1">
        <f>IF(A32&lt;'Project Information'!B$11,A32+1,"")</f>
        <v>2046</v>
      </c>
      <c r="B33" s="156">
        <v>0</v>
      </c>
      <c r="F33" s="1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s="14"/>
    </row>
    <row r="34" spans="1:53" x14ac:dyDescent="0.35">
      <c r="A34" s="1">
        <f>IF(A33&lt;'Project Information'!B$11,A33+1,"")</f>
        <v>2047</v>
      </c>
      <c r="B34" s="156">
        <v>0</v>
      </c>
      <c r="F34" s="13"/>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s="14"/>
    </row>
    <row r="35" spans="1:53" x14ac:dyDescent="0.35">
      <c r="A35" s="1">
        <f>IF(A34&lt;'Project Information'!B$11,A34+1,"")</f>
        <v>2048</v>
      </c>
      <c r="B35" s="156">
        <v>0</v>
      </c>
      <c r="F35" s="13"/>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s="14"/>
    </row>
    <row r="36" spans="1:53" x14ac:dyDescent="0.35">
      <c r="A36" s="1">
        <f>IF(A35&lt;'Project Information'!B$11,A35+1,"")</f>
        <v>2049</v>
      </c>
      <c r="B36" s="156">
        <v>0</v>
      </c>
      <c r="F36" s="13"/>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s="14"/>
    </row>
    <row r="37" spans="1:53" x14ac:dyDescent="0.35">
      <c r="A37" s="1">
        <f>IF(A36&lt;'Project Information'!B$11,A36+1,"")</f>
        <v>2050</v>
      </c>
      <c r="B37" s="156">
        <v>0</v>
      </c>
      <c r="F37" s="13"/>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s="14"/>
    </row>
    <row r="38" spans="1:53" x14ac:dyDescent="0.35">
      <c r="A38" s="1">
        <f>IF(A37&lt;'Project Information'!B$11,A37+1,"")</f>
        <v>2051</v>
      </c>
      <c r="B38" s="156">
        <v>0</v>
      </c>
      <c r="F38" s="13"/>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s="14"/>
    </row>
    <row r="39" spans="1:53" x14ac:dyDescent="0.35">
      <c r="A39" s="1">
        <f>IF(A38&lt;'Project Information'!B$11,A38+1,"")</f>
        <v>2052</v>
      </c>
      <c r="B39" s="156">
        <v>0</v>
      </c>
      <c r="F39" s="13"/>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s="14"/>
    </row>
    <row r="40" spans="1:53" x14ac:dyDescent="0.35">
      <c r="A40" s="1" t="str">
        <f>IF(A39&lt;'Project Information'!B$11,A39+1,"")</f>
        <v/>
      </c>
      <c r="B40" s="156">
        <v>0</v>
      </c>
      <c r="F40" s="13"/>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s="14"/>
    </row>
    <row r="41" spans="1:53" x14ac:dyDescent="0.35">
      <c r="A41" s="1" t="str">
        <f>IF(A40&lt;'Project Information'!B$11,A40+1,"")</f>
        <v/>
      </c>
      <c r="B41" s="156">
        <v>0</v>
      </c>
      <c r="F41" s="13"/>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s="14"/>
    </row>
    <row r="42" spans="1:53" x14ac:dyDescent="0.35">
      <c r="A42" s="1" t="str">
        <f>IF(A41&lt;'Project Information'!B$11,A41+1,"")</f>
        <v/>
      </c>
      <c r="B42" s="156">
        <v>0</v>
      </c>
      <c r="F42" s="13"/>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s="14"/>
    </row>
    <row r="43" spans="1:53" x14ac:dyDescent="0.35">
      <c r="A43" s="1" t="str">
        <f>IF(A42&lt;'Project Information'!B$11,A42+1,"")</f>
        <v/>
      </c>
      <c r="B43" s="156">
        <v>0</v>
      </c>
      <c r="F43" s="1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s="14"/>
    </row>
    <row r="44" spans="1:53" x14ac:dyDescent="0.35">
      <c r="A44" s="1" t="str">
        <f>IF(A43&lt;'Project Information'!B$11,A43+1,"")</f>
        <v/>
      </c>
      <c r="B44" s="156">
        <v>0</v>
      </c>
      <c r="F44" s="13"/>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s="14"/>
    </row>
    <row r="45" spans="1:53" x14ac:dyDescent="0.35">
      <c r="A45" s="1" t="str">
        <f>IF(A44&lt;'Project Information'!B$11,A44+1,"")</f>
        <v/>
      </c>
      <c r="B45" s="156">
        <v>0</v>
      </c>
      <c r="F45" s="13"/>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s="14"/>
    </row>
    <row r="46" spans="1:53" x14ac:dyDescent="0.35">
      <c r="A46" s="1" t="str">
        <f>IF(A45&lt;'Project Information'!B$11,A45+1,"")</f>
        <v/>
      </c>
      <c r="B46" s="156">
        <v>0</v>
      </c>
      <c r="F46" s="13"/>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s="14"/>
    </row>
    <row r="47" spans="1:53" x14ac:dyDescent="0.35">
      <c r="A47" s="1" t="str">
        <f>IF(A46&lt;'Project Information'!B$11,A46+1,"")</f>
        <v/>
      </c>
      <c r="B47" s="156">
        <v>0</v>
      </c>
      <c r="F47" s="13"/>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s="14"/>
    </row>
    <row r="48" spans="1:53" x14ac:dyDescent="0.35">
      <c r="A48" s="1" t="str">
        <f>IF(A47&lt;'Project Information'!B$11,A47+1,"")</f>
        <v/>
      </c>
      <c r="B48" s="156">
        <v>0</v>
      </c>
      <c r="F48" s="13"/>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s="14"/>
    </row>
    <row r="49" spans="1:53" x14ac:dyDescent="0.35">
      <c r="A49" s="2" t="str">
        <f>IF(A48&lt;'Project Information'!B$11,A48+1,"")</f>
        <v/>
      </c>
      <c r="B49" s="117">
        <v>0</v>
      </c>
      <c r="F49" s="13"/>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s="14"/>
    </row>
    <row r="50" spans="1:53" x14ac:dyDescent="0.35">
      <c r="F50" s="13"/>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s="14"/>
    </row>
    <row r="51" spans="1:53" x14ac:dyDescent="0.35">
      <c r="F51" s="13"/>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s="14"/>
    </row>
    <row r="52" spans="1:53" x14ac:dyDescent="0.35">
      <c r="F52" s="13"/>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s="14"/>
    </row>
    <row r="53" spans="1:53" x14ac:dyDescent="0.35">
      <c r="F53" s="1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s="14"/>
    </row>
    <row r="54" spans="1:53" x14ac:dyDescent="0.35">
      <c r="F54" s="13"/>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s="14"/>
    </row>
    <row r="55" spans="1:53" x14ac:dyDescent="0.35">
      <c r="F55" s="13"/>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s="14"/>
    </row>
    <row r="56" spans="1:53" x14ac:dyDescent="0.35">
      <c r="F56" s="13"/>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s="14"/>
    </row>
    <row r="57" spans="1:53" x14ac:dyDescent="0.35">
      <c r="F57" s="13"/>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s="14"/>
    </row>
    <row r="58" spans="1:53" x14ac:dyDescent="0.35">
      <c r="F58" s="13"/>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s="14"/>
    </row>
    <row r="59" spans="1:53" x14ac:dyDescent="0.35">
      <c r="F59" s="13"/>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s="14"/>
    </row>
    <row r="60" spans="1:53" x14ac:dyDescent="0.35">
      <c r="F60" s="13"/>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s="14"/>
    </row>
    <row r="61" spans="1:53" x14ac:dyDescent="0.35">
      <c r="F61" s="13"/>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s="14"/>
    </row>
    <row r="62" spans="1:53" x14ac:dyDescent="0.35">
      <c r="F62" s="13"/>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s="14"/>
    </row>
    <row r="63" spans="1:53" x14ac:dyDescent="0.35">
      <c r="F63" s="1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s="14"/>
    </row>
    <row r="64" spans="1:53" x14ac:dyDescent="0.35">
      <c r="F64" s="13"/>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s="14"/>
    </row>
    <row r="65" spans="6:53" x14ac:dyDescent="0.35">
      <c r="F65" s="13"/>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s="14"/>
    </row>
    <row r="66" spans="6:53" x14ac:dyDescent="0.35">
      <c r="F66" s="13"/>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s="14"/>
    </row>
    <row r="67" spans="6:53" x14ac:dyDescent="0.35">
      <c r="F67" s="13"/>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s="14"/>
    </row>
    <row r="68" spans="6:53" x14ac:dyDescent="0.35">
      <c r="F68" s="13"/>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s="14"/>
    </row>
    <row r="69" spans="6:53" x14ac:dyDescent="0.35">
      <c r="F69" s="13"/>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s="14"/>
    </row>
    <row r="70" spans="6:53" x14ac:dyDescent="0.35">
      <c r="F70" s="13"/>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s="14"/>
    </row>
    <row r="71" spans="6:53" x14ac:dyDescent="0.35">
      <c r="F71" s="13"/>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s="14"/>
    </row>
    <row r="72" spans="6:53" x14ac:dyDescent="0.35">
      <c r="F72" s="13"/>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s="14"/>
    </row>
    <row r="73" spans="6:53" x14ac:dyDescent="0.35">
      <c r="F73" s="1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s="14"/>
    </row>
    <row r="74" spans="6:53" x14ac:dyDescent="0.35">
      <c r="F74" s="13"/>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s="14"/>
    </row>
    <row r="75" spans="6:53" x14ac:dyDescent="0.35">
      <c r="F75" s="13"/>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s="14"/>
    </row>
    <row r="76" spans="6:53" x14ac:dyDescent="0.35">
      <c r="F76" s="13"/>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s="14"/>
    </row>
    <row r="77" spans="6:53" x14ac:dyDescent="0.35">
      <c r="F77" s="13"/>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s="14"/>
    </row>
    <row r="78" spans="6:53" x14ac:dyDescent="0.35">
      <c r="F78" s="13"/>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s="14"/>
    </row>
    <row r="79" spans="6:53" x14ac:dyDescent="0.35">
      <c r="F79" s="13"/>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s="14"/>
    </row>
    <row r="80" spans="6:53" x14ac:dyDescent="0.35">
      <c r="F80" s="13"/>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s="14"/>
    </row>
    <row r="81" spans="6:53" x14ac:dyDescent="0.35">
      <c r="F81" s="13"/>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s="14"/>
    </row>
    <row r="82" spans="6:53" x14ac:dyDescent="0.35">
      <c r="F82" s="13"/>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s="14"/>
    </row>
    <row r="83" spans="6:53" x14ac:dyDescent="0.35">
      <c r="F83" s="1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s="14"/>
    </row>
    <row r="84" spans="6:53" x14ac:dyDescent="0.35">
      <c r="F84" s="13"/>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s="14"/>
    </row>
    <row r="85" spans="6:53" x14ac:dyDescent="0.35">
      <c r="F85" s="13"/>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s="14"/>
    </row>
    <row r="86" spans="6:53" x14ac:dyDescent="0.35">
      <c r="F86" s="13"/>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s="14"/>
    </row>
    <row r="87" spans="6:53" x14ac:dyDescent="0.35">
      <c r="F87" s="13"/>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s="14"/>
    </row>
    <row r="88" spans="6:53" x14ac:dyDescent="0.35">
      <c r="F88" s="13"/>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s="14"/>
    </row>
    <row r="89" spans="6:53" x14ac:dyDescent="0.35">
      <c r="F89" s="13"/>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s="14"/>
    </row>
    <row r="90" spans="6:53" x14ac:dyDescent="0.35">
      <c r="F90" s="13"/>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s="14"/>
    </row>
    <row r="91" spans="6:53" x14ac:dyDescent="0.35">
      <c r="F91" s="13"/>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s="14"/>
    </row>
    <row r="92" spans="6:53" x14ac:dyDescent="0.35">
      <c r="F92" s="13"/>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s="14"/>
    </row>
    <row r="93" spans="6:53" x14ac:dyDescent="0.35">
      <c r="F93" s="1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s="14"/>
    </row>
    <row r="94" spans="6:53" x14ac:dyDescent="0.35">
      <c r="F94" s="13"/>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s="14"/>
    </row>
    <row r="95" spans="6:53" x14ac:dyDescent="0.35">
      <c r="F95" s="13"/>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s="14"/>
    </row>
    <row r="96" spans="6:53" x14ac:dyDescent="0.35">
      <c r="F96" s="13"/>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s="14"/>
    </row>
    <row r="97" spans="6:53" x14ac:dyDescent="0.35">
      <c r="F97" s="13"/>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s="14"/>
    </row>
    <row r="98" spans="6:53" x14ac:dyDescent="0.35">
      <c r="F98" s="13"/>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s="14"/>
    </row>
    <row r="99" spans="6:53" ht="15" thickBot="1" x14ac:dyDescent="0.4">
      <c r="F99" s="15"/>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7"/>
    </row>
  </sheetData>
  <conditionalFormatting sqref="B20:B49">
    <cfRule type="expression" dxfId="7" priority="1">
      <formula>A20=""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582A7-60FE-4049-9E01-0156D8D060ED}">
  <sheetPr>
    <tabColor theme="9" tint="0.39997558519241921"/>
  </sheetPr>
  <dimension ref="A1:AZ90"/>
  <sheetViews>
    <sheetView workbookViewId="0"/>
  </sheetViews>
  <sheetFormatPr defaultColWidth="9.1796875" defaultRowHeight="14.5" x14ac:dyDescent="0.35"/>
  <cols>
    <col min="1" max="1" width="26.453125" style="5" customWidth="1"/>
    <col min="2" max="2" width="28.81640625" style="5" customWidth="1"/>
    <col min="3" max="5" width="9.1796875" style="5"/>
    <col min="6" max="6" width="65.36328125" style="5" customWidth="1"/>
    <col min="7" max="9" width="11.36328125" style="5" bestFit="1" customWidth="1"/>
    <col min="10" max="10" width="112.26953125" style="5" bestFit="1" customWidth="1"/>
    <col min="11" max="16384" width="9.1796875" style="5"/>
  </cols>
  <sheetData>
    <row r="1" spans="1:52" ht="20" thickBot="1" x14ac:dyDescent="0.5">
      <c r="A1" s="94" t="s">
        <v>12</v>
      </c>
    </row>
    <row r="2" spans="1:52" ht="15" thickTop="1" x14ac:dyDescent="0.35">
      <c r="A2" s="144" t="s">
        <v>237</v>
      </c>
      <c r="B2" s="144"/>
      <c r="C2" s="144"/>
      <c r="D2" s="144"/>
      <c r="E2" s="144"/>
      <c r="F2" s="144"/>
      <c r="G2" s="144"/>
      <c r="H2" s="144"/>
      <c r="I2" s="144"/>
      <c r="J2" s="144"/>
      <c r="K2" s="144"/>
    </row>
    <row r="3" spans="1:52" x14ac:dyDescent="0.35">
      <c r="A3" s="5" t="s">
        <v>203</v>
      </c>
    </row>
    <row r="4" spans="1:52" x14ac:dyDescent="0.35">
      <c r="A4" s="145" t="s">
        <v>344</v>
      </c>
      <c r="B4" s="144"/>
      <c r="C4" s="144"/>
      <c r="D4" s="144"/>
      <c r="E4" s="144"/>
      <c r="F4" s="144"/>
      <c r="G4" s="144"/>
      <c r="H4" s="144"/>
      <c r="I4" s="144"/>
      <c r="J4" s="144"/>
      <c r="K4" s="144"/>
      <c r="L4" s="144"/>
      <c r="M4" s="144"/>
      <c r="N4" s="144"/>
    </row>
    <row r="5" spans="1:52" x14ac:dyDescent="0.35">
      <c r="A5" s="38" t="s">
        <v>203</v>
      </c>
    </row>
    <row r="6" spans="1:52" x14ac:dyDescent="0.35">
      <c r="A6" s="145" t="s">
        <v>245</v>
      </c>
      <c r="B6" s="144"/>
      <c r="C6" s="144"/>
      <c r="D6" s="144"/>
      <c r="E6" s="144"/>
    </row>
    <row r="7" spans="1:52" x14ac:dyDescent="0.35">
      <c r="A7" s="145" t="s">
        <v>246</v>
      </c>
      <c r="B7" s="144"/>
      <c r="C7" s="144"/>
      <c r="D7" s="144"/>
      <c r="E7" s="144"/>
      <c r="F7" s="144"/>
      <c r="G7" s="144"/>
      <c r="H7" s="144"/>
    </row>
    <row r="8" spans="1:52" x14ac:dyDescent="0.35">
      <c r="A8" s="5" t="s">
        <v>203</v>
      </c>
    </row>
    <row r="9" spans="1:52" ht="15" thickBot="1" x14ac:dyDescent="0.4">
      <c r="A9" s="95" t="s">
        <v>242</v>
      </c>
    </row>
    <row r="10" spans="1:52" x14ac:dyDescent="0.35">
      <c r="A10" s="104" t="s">
        <v>4</v>
      </c>
      <c r="B10" s="105" t="s">
        <v>12</v>
      </c>
      <c r="E10" s="10" t="s">
        <v>159</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2"/>
    </row>
    <row r="11" spans="1:52" x14ac:dyDescent="0.35">
      <c r="A11" s="6">
        <f>'Project Information'!$B$9</f>
        <v>2033</v>
      </c>
      <c r="B11" s="156">
        <f>('User Volumes'!G10*($G$33+$H$33+$I$33))+('User Volumes'!I10+($G$40+$H$40+$I$40))</f>
        <v>254750.30099999998</v>
      </c>
      <c r="E11" s="13"/>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s="14"/>
    </row>
    <row r="12" spans="1:52" x14ac:dyDescent="0.35">
      <c r="A12" s="1">
        <f>IF(A11&lt;'Project Information'!B$11,A11+1,"")</f>
        <v>2034</v>
      </c>
      <c r="B12" s="156">
        <f>('User Volumes'!G11*($G$33+$H$33+$I$33))+('User Volumes'!I11+($G$40+$H$40+$I$40))</f>
        <v>254792.45156537744</v>
      </c>
      <c r="E12" s="13"/>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f>IF(A12&lt;'Project Information'!B$11,A12+1,"")</f>
        <v>2035</v>
      </c>
      <c r="B13" s="156">
        <f>('User Volumes'!G12*($G$33+$H$33+$I$33))+('User Volumes'!I12+($G$40+$H$40+$I$40))</f>
        <v>254834.6091049953</v>
      </c>
      <c r="E13" s="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f>IF(A13&lt;'Project Information'!B$11,A13+1,"")</f>
        <v>2036</v>
      </c>
      <c r="B14" s="156">
        <f>('User Volumes'!G13*($G$33+$H$33+$I$33))+('User Volumes'!I13+($G$40+$H$40+$I$40))</f>
        <v>254876.77362000747</v>
      </c>
      <c r="E14" s="13"/>
      <c r="F14" s="371" t="s">
        <v>1665</v>
      </c>
      <c r="G14" s="372" t="s">
        <v>477</v>
      </c>
      <c r="H14" s="372" t="s">
        <v>959</v>
      </c>
      <c r="I14" s="372" t="s">
        <v>1001</v>
      </c>
      <c r="J14" s="373" t="s">
        <v>201</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f>IF(A14&lt;'Project Information'!B$11,A14+1,"")</f>
        <v>2037</v>
      </c>
      <c r="B15" s="156">
        <f>('User Volumes'!G14*($G$33+$H$33+$I$33))+('User Volumes'!I14+($G$40+$H$40+$I$40))</f>
        <v>254918.94511156823</v>
      </c>
      <c r="E15" s="13"/>
      <c r="F15" s="374" t="s">
        <v>1635</v>
      </c>
      <c r="G15" s="370"/>
      <c r="H15" s="370"/>
      <c r="I15" s="370"/>
      <c r="J15" s="37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2038</v>
      </c>
      <c r="B16" s="156">
        <f>('User Volumes'!G15*($G$33+$H$33+$I$33))+('User Volumes'!I15+($G$40+$H$40+$I$40))</f>
        <v>254961.12358083177</v>
      </c>
      <c r="E16" s="13"/>
      <c r="F16" s="376" t="s">
        <v>1636</v>
      </c>
      <c r="G16" s="440">
        <v>2</v>
      </c>
      <c r="H16" s="440">
        <v>2</v>
      </c>
      <c r="I16" s="382">
        <v>1</v>
      </c>
      <c r="J16" s="60" t="s">
        <v>1670</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2039</v>
      </c>
      <c r="B17" s="156">
        <f>('User Volumes'!G16*($G$33+$H$33+$I$33))+('User Volumes'!I16+($G$40+$H$40+$I$40))</f>
        <v>255003.30902895267</v>
      </c>
      <c r="E17" s="13"/>
      <c r="F17" s="376" t="s">
        <v>1646</v>
      </c>
      <c r="G17" s="377">
        <f>'Parameter Values'!$B$139</f>
        <v>0.13</v>
      </c>
      <c r="H17" s="377">
        <f>'Parameter Values'!$B$139</f>
        <v>0.13</v>
      </c>
      <c r="I17" s="377">
        <f>'Parameter Values'!$B$139</f>
        <v>0.13</v>
      </c>
      <c r="J17" s="60" t="s">
        <v>1637</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2040</v>
      </c>
      <c r="B18" s="156">
        <f>('User Volumes'!G17*($G$33+$H$33+$I$33))+('User Volumes'!I17+($G$40+$H$40+$I$40))</f>
        <v>255045.50145708566</v>
      </c>
      <c r="E18" s="13"/>
      <c r="F18" s="376" t="s">
        <v>1638</v>
      </c>
      <c r="G18" s="439">
        <v>0.86</v>
      </c>
      <c r="H18" s="439">
        <v>0.86</v>
      </c>
      <c r="I18" s="439">
        <v>0.86</v>
      </c>
      <c r="J18" s="317" t="s">
        <v>1678</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2041</v>
      </c>
      <c r="B19" s="156">
        <f>('User Volumes'!G18*($G$33+$H$33+$I$33))+('User Volumes'!I18+($G$40+$H$40+$I$40))</f>
        <v>255087.70086638571</v>
      </c>
      <c r="E19" s="13"/>
      <c r="F19" s="378" t="s">
        <v>1647</v>
      </c>
      <c r="G19" s="369">
        <f>G16*G17*G18</f>
        <v>0.22359999999999999</v>
      </c>
      <c r="H19" s="369">
        <f>H16*H17*H18</f>
        <v>0.22359999999999999</v>
      </c>
      <c r="I19" s="369">
        <f>I16*I17*I18</f>
        <v>0.1118</v>
      </c>
      <c r="J19" s="37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2042</v>
      </c>
      <c r="B20" s="156">
        <f>('User Volumes'!G19*($G$33+$H$33+$I$33))+('User Volumes'!I19+($G$40+$H$40+$I$40))</f>
        <v>255129.90725800785</v>
      </c>
      <c r="E20" s="13"/>
      <c r="F20" s="62"/>
      <c r="G20"/>
      <c r="I20"/>
      <c r="J20" s="6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2043</v>
      </c>
      <c r="B21" s="156">
        <f>('User Volumes'!G20*($G$33+$H$33+$I$33))+('User Volumes'!I20+($G$40+$H$40+$I$40))</f>
        <v>255172.12063310746</v>
      </c>
      <c r="E21" s="13"/>
      <c r="F21" s="62"/>
      <c r="G21"/>
      <c r="I21"/>
      <c r="J21" s="60"/>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2044</v>
      </c>
      <c r="B22" s="156">
        <f>('User Volumes'!G21*($G$33+$H$33+$I$33))+('User Volumes'!I21+($G$40+$H$40+$I$40))</f>
        <v>255214.34099283992</v>
      </c>
      <c r="E22" s="13"/>
      <c r="F22" s="374" t="s">
        <v>1640</v>
      </c>
      <c r="G22" s="380"/>
      <c r="H22" s="380"/>
      <c r="I22" s="380"/>
      <c r="J22" s="381"/>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2045</v>
      </c>
      <c r="B23" s="156">
        <f>('User Volumes'!G22*($G$33+$H$33+$I$33))+('User Volumes'!I22+($G$40+$H$40+$I$40))</f>
        <v>255256.56833836099</v>
      </c>
      <c r="E23" s="13"/>
      <c r="F23" s="376" t="s">
        <v>1667</v>
      </c>
      <c r="G23" s="382">
        <v>0</v>
      </c>
      <c r="H23" s="382">
        <v>1</v>
      </c>
      <c r="I23" s="382">
        <v>0</v>
      </c>
      <c r="J23" s="60" t="s">
        <v>1671</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2046</v>
      </c>
      <c r="B24" s="156">
        <f>('User Volumes'!G23*($G$33+$H$33+$I$33))+('User Volumes'!I23+($G$40+$H$40+$I$40))</f>
        <v>255298.8026708265</v>
      </c>
      <c r="E24" s="13"/>
      <c r="F24" s="383" t="s">
        <v>1673</v>
      </c>
      <c r="G24" s="377">
        <f>'Parameter Values'!$B$145</f>
        <v>0.22</v>
      </c>
      <c r="H24" s="377">
        <f>'Parameter Values'!$B$145</f>
        <v>0.22</v>
      </c>
      <c r="I24" s="377">
        <f>'Parameter Values'!$B$145</f>
        <v>0.22</v>
      </c>
      <c r="J24" s="60" t="s">
        <v>1637</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2047</v>
      </c>
      <c r="B25" s="156">
        <f>('User Volumes'!G24*($G$33+$H$33+$I$33))+('User Volumes'!I24+($G$40+$H$40+$I$40))</f>
        <v>255341.04399139257</v>
      </c>
      <c r="E25" s="13"/>
      <c r="F25" s="378" t="s">
        <v>1647</v>
      </c>
      <c r="G25" s="369">
        <f>G23*G24</f>
        <v>0</v>
      </c>
      <c r="H25" s="369">
        <f>H23*H24</f>
        <v>0.22</v>
      </c>
      <c r="I25" s="369">
        <f>I23*I24</f>
        <v>0</v>
      </c>
      <c r="J25" s="379"/>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2048</v>
      </c>
      <c r="B26" s="156">
        <f>('User Volumes'!G25*($G$33+$H$33+$I$33))+('User Volumes'!I25+($G$40+$H$40+$I$40))</f>
        <v>255383.29230121532</v>
      </c>
      <c r="E26" s="13"/>
      <c r="F26" s="384"/>
      <c r="G26" s="385"/>
      <c r="I26"/>
      <c r="J26" s="60"/>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2049</v>
      </c>
      <c r="B27" s="156">
        <f>('User Volumes'!G26*($G$33+$H$33+$I$33))+('User Volumes'!I26+($G$40+$H$40+$I$40))</f>
        <v>255425.54760145131</v>
      </c>
      <c r="E27" s="13"/>
      <c r="F27" s="384"/>
      <c r="G27" s="385"/>
      <c r="I27"/>
      <c r="J27" s="60"/>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f>IF(A27&lt;'Project Information'!B$11,A27+1,"")</f>
        <v>2050</v>
      </c>
      <c r="B28" s="156">
        <f>('User Volumes'!G27*($G$33+$H$33+$I$33))+('User Volumes'!I27+($G$40+$H$40+$I$40))</f>
        <v>255467.80989325713</v>
      </c>
      <c r="E28" s="13"/>
      <c r="F28" s="374" t="s">
        <v>1641</v>
      </c>
      <c r="G28" s="380"/>
      <c r="H28" s="380"/>
      <c r="I28" s="380"/>
      <c r="J28" s="381"/>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f>IF(A28&lt;'Project Information'!B$11,A28+1,"")</f>
        <v>2051</v>
      </c>
      <c r="B29" s="156">
        <f>('User Volumes'!G28*($G$33+$H$33+$I$33))+('User Volumes'!I28+($G$40+$H$40+$I$40))</f>
        <v>255510.07917778962</v>
      </c>
      <c r="E29" s="13"/>
      <c r="F29" s="376" t="s">
        <v>1642</v>
      </c>
      <c r="G29" s="382">
        <v>1</v>
      </c>
      <c r="H29" s="382">
        <v>1</v>
      </c>
      <c r="I29" s="382">
        <v>1</v>
      </c>
      <c r="J29" s="60" t="s">
        <v>1672</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f>IF(A29&lt;'Project Information'!B$11,A29+1,"")</f>
        <v>2052</v>
      </c>
      <c r="B30" s="156">
        <f>('User Volumes'!G29*($G$33+$H$33+$I$33))+('User Volumes'!I29+($G$40+$H$40+$I$40))</f>
        <v>255552.35545620581</v>
      </c>
      <c r="E30" s="13"/>
      <c r="F30" s="383" t="s">
        <v>1674</v>
      </c>
      <c r="G30" s="377">
        <f>'Parameter Values'!$B$146</f>
        <v>0.56999999999999995</v>
      </c>
      <c r="H30" s="377">
        <f>'Parameter Values'!$B$146</f>
        <v>0.56999999999999995</v>
      </c>
      <c r="I30" s="377">
        <f>'Parameter Values'!$B$146</f>
        <v>0.56999999999999995</v>
      </c>
      <c r="J30" s="60" t="s">
        <v>1637</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t="str">
        <f>IF(A30&lt;'Project Information'!B$11,A30+1,"")</f>
        <v/>
      </c>
      <c r="B31" s="156">
        <v>0</v>
      </c>
      <c r="E31" s="13"/>
      <c r="F31" s="378" t="s">
        <v>1639</v>
      </c>
      <c r="G31" s="369">
        <f>G29*G30</f>
        <v>0.56999999999999995</v>
      </c>
      <c r="H31" s="369">
        <f>H29*H30</f>
        <v>0.56999999999999995</v>
      </c>
      <c r="I31" s="369">
        <f>I29*I30</f>
        <v>0.56999999999999995</v>
      </c>
      <c r="J31" s="379"/>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t="str">
        <f>IF(A31&lt;'Project Information'!B$11,A31+1,"")</f>
        <v/>
      </c>
      <c r="B32" s="156">
        <v>0</v>
      </c>
      <c r="E32" s="13"/>
      <c r="F32" s="384"/>
      <c r="G32" s="385"/>
      <c r="I32"/>
      <c r="J32" s="60"/>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t="str">
        <f>IF(A32&lt;'Project Information'!B$11,A32+1,"")</f>
        <v/>
      </c>
      <c r="B33" s="156">
        <v>0</v>
      </c>
      <c r="E33" s="13"/>
      <c r="F33" s="445" t="s">
        <v>1643</v>
      </c>
      <c r="G33" s="443">
        <f>G19+G25+G31</f>
        <v>0.79359999999999997</v>
      </c>
      <c r="H33" s="443">
        <f>H19</f>
        <v>0.22359999999999999</v>
      </c>
      <c r="I33" s="443">
        <f>I19+I25+I31</f>
        <v>0.68179999999999996</v>
      </c>
      <c r="J33" s="446"/>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t="str">
        <f>IF(A33&lt;'Project Information'!B$11,A33+1,"")</f>
        <v/>
      </c>
      <c r="B34" s="156">
        <v>0</v>
      </c>
      <c r="E34" s="13"/>
      <c r="F34"/>
      <c r="G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s="371" t="s">
        <v>1666</v>
      </c>
      <c r="G35" s="372"/>
      <c r="H35" s="372"/>
      <c r="I35" s="372"/>
      <c r="J35" s="373"/>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s="374" t="s">
        <v>1644</v>
      </c>
      <c r="G36" s="370"/>
      <c r="H36" s="370"/>
      <c r="I36" s="370"/>
      <c r="J36" s="528"/>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1" t="str">
        <f>IF(A36&lt;'Project Information'!B$11,A36+1,"")</f>
        <v/>
      </c>
      <c r="B37" s="156">
        <v>0</v>
      </c>
      <c r="E37" s="13"/>
      <c r="F37" s="376" t="s">
        <v>1668</v>
      </c>
      <c r="G37" s="448">
        <v>0</v>
      </c>
      <c r="H37" s="448">
        <v>1</v>
      </c>
      <c r="I37" s="448">
        <v>1</v>
      </c>
      <c r="J37" s="60" t="s">
        <v>1669</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A38" s="1" t="str">
        <f>IF(A37&lt;'Project Information'!B$11,A37+1,"")</f>
        <v/>
      </c>
      <c r="B38" s="156">
        <v>0</v>
      </c>
      <c r="E38" s="13"/>
      <c r="F38" s="376" t="s">
        <v>1675</v>
      </c>
      <c r="G38" s="441">
        <f>'Parameter Values'!$B$157</f>
        <v>2.09</v>
      </c>
      <c r="H38" s="441">
        <f>'Parameter Values'!$B$157</f>
        <v>2.09</v>
      </c>
      <c r="I38" s="441">
        <f>'Parameter Values'!$B$157</f>
        <v>2.09</v>
      </c>
      <c r="J38" s="529" t="s">
        <v>1676</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A39" s="1" t="str">
        <f>IF(A38&lt;'Project Information'!B$11,A38+1,"")</f>
        <v/>
      </c>
      <c r="B39" s="156">
        <v>0</v>
      </c>
      <c r="E39" s="13"/>
      <c r="F39" s="376" t="s">
        <v>1677</v>
      </c>
      <c r="G39" s="439">
        <v>0</v>
      </c>
      <c r="H39" s="439">
        <v>0.4</v>
      </c>
      <c r="I39" s="439">
        <v>0.95</v>
      </c>
      <c r="J39" s="447"/>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A40" s="2" t="str">
        <f>IF(A39&lt;'Project Information'!B$11,A39+1,"")</f>
        <v/>
      </c>
      <c r="B40" s="117">
        <v>0</v>
      </c>
      <c r="E40" s="13"/>
      <c r="F40" s="442" t="s">
        <v>1645</v>
      </c>
      <c r="G40" s="443">
        <f>G37*G39*G38</f>
        <v>0</v>
      </c>
      <c r="H40" s="443">
        <f>H37*H39*H38</f>
        <v>0.83599999999999997</v>
      </c>
      <c r="I40" s="443">
        <f>I37*I39*I38</f>
        <v>1.9854999999999998</v>
      </c>
      <c r="J40" s="444"/>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E41" s="13"/>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E42" s="13"/>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E43" s="1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E44" s="13"/>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x14ac:dyDescent="0.35">
      <c r="E87" s="13"/>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s="14"/>
    </row>
    <row r="88" spans="5:52" x14ac:dyDescent="0.35">
      <c r="E88" s="13"/>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s="14"/>
    </row>
    <row r="89" spans="5:52" x14ac:dyDescent="0.35">
      <c r="E89" s="13"/>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s="14"/>
    </row>
    <row r="90" spans="5:52" ht="15" thickBot="1" x14ac:dyDescent="0.4">
      <c r="E90" s="15"/>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7"/>
    </row>
  </sheetData>
  <conditionalFormatting sqref="B11:B40">
    <cfRule type="expression" dxfId="6" priority="2">
      <formula>A11=""</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EE6D4-7F6C-4AC2-AF83-FF0176DC6AB8}">
  <sheetPr>
    <tabColor theme="9" tint="0.39997558519241921"/>
  </sheetPr>
  <dimension ref="A1:AZ94"/>
  <sheetViews>
    <sheetView workbookViewId="0"/>
  </sheetViews>
  <sheetFormatPr defaultColWidth="9.1796875" defaultRowHeight="14.5" x14ac:dyDescent="0.35"/>
  <cols>
    <col min="1" max="1" width="27.26953125" style="5" customWidth="1"/>
    <col min="2" max="2" width="40.7265625" style="5" customWidth="1"/>
    <col min="3" max="3" width="24.453125" style="5" customWidth="1"/>
    <col min="4" max="16384" width="9.1796875" style="5"/>
  </cols>
  <sheetData>
    <row r="1" spans="1:52" ht="20" thickBot="1" x14ac:dyDescent="0.5">
      <c r="A1" s="94" t="s">
        <v>11</v>
      </c>
    </row>
    <row r="2" spans="1:52" ht="15" thickTop="1" x14ac:dyDescent="0.35">
      <c r="A2" s="144" t="s">
        <v>237</v>
      </c>
      <c r="B2" s="144"/>
      <c r="C2" s="144"/>
      <c r="D2" s="144"/>
      <c r="E2" s="144"/>
      <c r="F2" s="144"/>
      <c r="G2" s="144"/>
      <c r="H2" s="144"/>
    </row>
    <row r="3" spans="1:52" x14ac:dyDescent="0.35">
      <c r="A3" s="5" t="s">
        <v>203</v>
      </c>
    </row>
    <row r="4" spans="1:52" x14ac:dyDescent="0.35">
      <c r="A4" s="145" t="s">
        <v>344</v>
      </c>
      <c r="B4" s="144"/>
      <c r="C4" s="144"/>
      <c r="D4" s="144"/>
      <c r="E4" s="144"/>
      <c r="F4" s="144"/>
      <c r="G4" s="144"/>
      <c r="H4" s="144"/>
      <c r="I4" s="144"/>
      <c r="J4" s="144"/>
      <c r="K4" s="144"/>
    </row>
    <row r="5" spans="1:52" x14ac:dyDescent="0.35">
      <c r="A5" s="38" t="s">
        <v>203</v>
      </c>
    </row>
    <row r="6" spans="1:52" x14ac:dyDescent="0.35">
      <c r="A6" s="95" t="s">
        <v>238</v>
      </c>
    </row>
    <row r="7" spans="1:52" ht="29" x14ac:dyDescent="0.35">
      <c r="A7" s="114" t="s">
        <v>133</v>
      </c>
      <c r="B7" s="114" t="s">
        <v>195</v>
      </c>
      <c r="C7" s="115" t="s">
        <v>347</v>
      </c>
    </row>
    <row r="8" spans="1:52" x14ac:dyDescent="0.35">
      <c r="A8" s="43" t="s">
        <v>196</v>
      </c>
      <c r="B8" s="43" t="str">
        <f>'Parameter Values'!B220</f>
        <v>Ages 20-74</v>
      </c>
      <c r="C8" s="44">
        <f>'Parameter Values'!C220</f>
        <v>8.36</v>
      </c>
    </row>
    <row r="9" spans="1:52" x14ac:dyDescent="0.35">
      <c r="A9" s="43" t="s">
        <v>197</v>
      </c>
      <c r="B9" s="43" t="str">
        <f>'Parameter Values'!B221</f>
        <v>Ages 20-64</v>
      </c>
      <c r="C9" s="44">
        <f>'Parameter Values'!C221</f>
        <v>7.45</v>
      </c>
    </row>
    <row r="10" spans="1:52" x14ac:dyDescent="0.35">
      <c r="A10" s="144" t="str">
        <f>RIGHT('Parameter Values'!A225,LEN('Parameter Values'!A225)-5)</f>
        <v>Absent more localized data on the proportion of the expected users falling into the age ranges above, applicants may apply a general assumption of 68% and 59% of overall induced trips falling into the walking and cycling age ranges, respectively, assuming a distribution matching the national average.</v>
      </c>
      <c r="B10" s="144"/>
      <c r="C10" s="144"/>
      <c r="D10" s="144"/>
      <c r="E10" s="144"/>
      <c r="F10" s="144"/>
      <c r="G10" s="144"/>
      <c r="H10" s="144"/>
      <c r="I10" s="144"/>
      <c r="J10" s="144"/>
      <c r="K10" s="144"/>
      <c r="L10" s="144"/>
      <c r="M10" s="144"/>
      <c r="N10" s="144"/>
      <c r="O10" s="144"/>
      <c r="P10" s="144"/>
      <c r="Q10" s="144"/>
      <c r="R10" s="144"/>
      <c r="S10" s="144"/>
      <c r="T10" s="144"/>
      <c r="U10" s="144"/>
      <c r="V10" s="144"/>
      <c r="W10" s="144"/>
    </row>
    <row r="11" spans="1:52" x14ac:dyDescent="0.35">
      <c r="A11" s="144" t="str">
        <f>RIGHT('Parameter Values'!A226,LEN('Parameter Values'!A226)-5)</f>
        <v xml:space="preserve">Applicants should ensure these monetization values are only applied to trips induced from non-active transportation modes within the relevant age ranges for each mode. Absent more localized data on the proportion of induced trips coming from non-active transportation modes, applicants may apply a general assumption of 89% of induced trips falling into that category, assuming a distribution matching the national average travel pattern. </v>
      </c>
      <c r="B11" s="393"/>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row>
    <row r="12" spans="1:52" x14ac:dyDescent="0.35">
      <c r="A12" s="38" t="s">
        <v>203</v>
      </c>
    </row>
    <row r="13" spans="1:52" ht="15" thickBot="1" x14ac:dyDescent="0.4">
      <c r="A13" s="95" t="s">
        <v>243</v>
      </c>
    </row>
    <row r="14" spans="1:52" x14ac:dyDescent="0.35">
      <c r="A14" s="104" t="s">
        <v>4</v>
      </c>
      <c r="B14" s="105" t="s">
        <v>11</v>
      </c>
      <c r="E14" s="10" t="s">
        <v>159</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2"/>
    </row>
    <row r="15" spans="1:52" x14ac:dyDescent="0.35">
      <c r="A15" s="6">
        <f>'Project Information'!$B$9</f>
        <v>2033</v>
      </c>
      <c r="B15" s="156">
        <f>(('User Volumes'!$G10-'User Volumes'!$F10)*$C$8)+(('User Volumes'!$I10-'User Volumes'!$H10)*$C$9)</f>
        <v>36925.042499999996</v>
      </c>
      <c r="E15" s="13"/>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2034</v>
      </c>
      <c r="B16" s="156">
        <f>(('User Volumes'!$G11-'User Volumes'!$F11)*$C$8)+(('User Volumes'!$I11-'User Volumes'!$H11)*$C$9)</f>
        <v>36931.152124405424</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2035</v>
      </c>
      <c r="B17" s="156">
        <f>(('User Volumes'!$G12-'User Volumes'!$F12)*$C$8)+(('User Volumes'!$I12-'User Volumes'!$H12)*$C$9)</f>
        <v>36937.262759710393</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2036</v>
      </c>
      <c r="B18" s="156">
        <f>(('User Volumes'!$G13-'User Volumes'!$F13)*$C$8)+(('User Volumes'!$I13-'User Volumes'!$H13)*$C$9)</f>
        <v>36943.374406082214</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2037</v>
      </c>
      <c r="B19" s="156">
        <f>(('User Volumes'!$G14-'User Volumes'!$F14)*$C$8)+(('User Volumes'!$I14-'User Volumes'!$H14)*$C$9)</f>
        <v>36949.487063688255</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2038</v>
      </c>
      <c r="B20" s="156">
        <f>(('User Volumes'!$G15-'User Volumes'!$F15)*$C$8)+(('User Volumes'!$I15-'User Volumes'!$H15)*$C$9)</f>
        <v>36955.600732695602</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2039</v>
      </c>
      <c r="B21" s="156">
        <f>(('User Volumes'!$G16-'User Volumes'!$F16)*$C$8)+(('User Volumes'!$I16-'User Volumes'!$H16)*$C$9)</f>
        <v>36961.715413271864</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2040</v>
      </c>
      <c r="B22" s="156">
        <f>(('User Volumes'!$G17-'User Volumes'!$F17)*$C$8)+(('User Volumes'!$I17-'User Volumes'!$H17)*$C$9)</f>
        <v>36967.831105584119</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2041</v>
      </c>
      <c r="B23" s="156">
        <f>(('User Volumes'!$G18-'User Volumes'!$F18)*$C$8)+(('User Volumes'!$I18-'User Volumes'!$H18)*$C$9)</f>
        <v>36973.947809800215</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2042</v>
      </c>
      <c r="B24" s="156">
        <f>(('User Volumes'!$G19-'User Volumes'!$F19)*$C$8)+(('User Volumes'!$I19-'User Volumes'!$H19)*$C$9)</f>
        <v>36980.065526087252</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2043</v>
      </c>
      <c r="B25" s="156">
        <f>(('User Volumes'!$G20-'User Volumes'!$F20)*$C$8)+(('User Volumes'!$I20-'User Volumes'!$H20)*$C$9)</f>
        <v>36986.184254612832</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2044</v>
      </c>
      <c r="B26" s="156">
        <f>(('User Volumes'!$G21-'User Volumes'!$F21)*$C$8)+(('User Volumes'!$I21-'User Volumes'!$H21)*$C$9)</f>
        <v>36992.303995544295</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2045</v>
      </c>
      <c r="B27" s="156">
        <f>(('User Volumes'!$G22-'User Volumes'!$F22)*$C$8)+(('User Volumes'!$I22-'User Volumes'!$H22)*$C$9)</f>
        <v>36998.424749049242</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f>IF(A27&lt;'Project Information'!B$11,A27+1,"")</f>
        <v>2046</v>
      </c>
      <c r="B28" s="156">
        <f>(('User Volumes'!$G23-'User Volumes'!$F23)*$C$8)+(('User Volumes'!$I23-'User Volumes'!$H23)*$C$9)</f>
        <v>37004.54651529526</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f>IF(A28&lt;'Project Information'!B$11,A28+1,"")</f>
        <v>2047</v>
      </c>
      <c r="B29" s="156">
        <f>(('User Volumes'!$G24-'User Volumes'!$F24)*$C$8)+(('User Volumes'!$I24-'User Volumes'!$H24)*$C$9)</f>
        <v>37010.669294449952</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f>IF(A29&lt;'Project Information'!B$11,A29+1,"")</f>
        <v>2048</v>
      </c>
      <c r="B30" s="156">
        <f>(('User Volumes'!$G25-'User Volumes'!$F25)*$C$8)+(('User Volumes'!$I25-'User Volumes'!$H25)*$C$9)</f>
        <v>37016.793086680678</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f>IF(A30&lt;'Project Information'!B$11,A30+1,"")</f>
        <v>2049</v>
      </c>
      <c r="B31" s="156">
        <f>(('User Volumes'!$G26-'User Volumes'!$F26)*$C$8)+(('User Volumes'!$I26-'User Volumes'!$H26)*$C$9)</f>
        <v>37022.917892155267</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f>IF(A31&lt;'Project Information'!B$11,A31+1,"")</f>
        <v>2050</v>
      </c>
      <c r="B32" s="156">
        <f>(('User Volumes'!$G27-'User Volumes'!$F27)*$C$8)+(('User Volumes'!$I27-'User Volumes'!$H27)*$C$9)</f>
        <v>37029.043711041319</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f>IF(A32&lt;'Project Information'!B$11,A32+1,"")</f>
        <v>2051</v>
      </c>
      <c r="B33" s="156">
        <f>(('User Volumes'!$G28-'User Volumes'!$F28)*$C$8)+(('User Volumes'!$I28-'User Volumes'!$H28)*$C$9)</f>
        <v>37035.170543506436</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f>IF(A33&lt;'Project Information'!B$11,A33+1,"")</f>
        <v>2052</v>
      </c>
      <c r="B34" s="156">
        <f>(('User Volumes'!$G29-'User Volumes'!$F29)*$C$8)+(('User Volumes'!$I29-'User Volumes'!$H29)*$C$9)</f>
        <v>37041.298389718468</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1" t="str">
        <f>IF(A36&lt;'Project Information'!B$11,A36+1,"")</f>
        <v/>
      </c>
      <c r="B37" s="156">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A38" s="1" t="str">
        <f>IF(A37&lt;'Project Information'!B$11,A37+1,"")</f>
        <v/>
      </c>
      <c r="B38" s="156">
        <v>0</v>
      </c>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A39" s="1" t="str">
        <f>IF(A38&lt;'Project Information'!B$11,A38+1,"")</f>
        <v/>
      </c>
      <c r="B39" s="156">
        <v>0</v>
      </c>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A40" s="1" t="str">
        <f>IF(A39&lt;'Project Information'!B$11,A39+1,"")</f>
        <v/>
      </c>
      <c r="B40" s="156">
        <v>0</v>
      </c>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A41" s="1" t="str">
        <f>IF(A40&lt;'Project Information'!B$11,A40+1,"")</f>
        <v/>
      </c>
      <c r="B41" s="156">
        <v>0</v>
      </c>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A42" s="1" t="str">
        <f>IF(A41&lt;'Project Information'!B$11,A41+1,"")</f>
        <v/>
      </c>
      <c r="B42" s="156">
        <v>0</v>
      </c>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A43" s="1" t="str">
        <f>IF(A42&lt;'Project Information'!B$11,A42+1,"")</f>
        <v/>
      </c>
      <c r="B43" s="156">
        <v>0</v>
      </c>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A44" s="2" t="str">
        <f>IF(A43&lt;'Project Information'!B$11,A43+1,"")</f>
        <v/>
      </c>
      <c r="B44" s="117">
        <v>0</v>
      </c>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x14ac:dyDescent="0.35">
      <c r="E87" s="13"/>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s="14"/>
    </row>
    <row r="88" spans="5:52" x14ac:dyDescent="0.35">
      <c r="E88" s="13"/>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s="14"/>
    </row>
    <row r="89" spans="5:52" x14ac:dyDescent="0.35">
      <c r="E89" s="13"/>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s="14"/>
    </row>
    <row r="90" spans="5:52" x14ac:dyDescent="0.35">
      <c r="E90" s="13"/>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s="14"/>
    </row>
    <row r="91" spans="5:52" x14ac:dyDescent="0.35">
      <c r="E91" s="13"/>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s="14"/>
    </row>
    <row r="92" spans="5:52" x14ac:dyDescent="0.35">
      <c r="E92" s="13"/>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s="14"/>
    </row>
    <row r="93" spans="5:52" x14ac:dyDescent="0.35">
      <c r="E93" s="1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s="14"/>
    </row>
    <row r="94" spans="5:52" ht="15" thickBot="1" x14ac:dyDescent="0.4">
      <c r="E94" s="15"/>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7"/>
    </row>
  </sheetData>
  <conditionalFormatting sqref="B15:B44">
    <cfRule type="expression" dxfId="5" priority="1">
      <formula>A15=""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BE35F-05A6-46FB-8C80-3085CA6C95D6}">
  <sheetPr>
    <tabColor theme="9" tint="0.39997558519241921"/>
  </sheetPr>
  <dimension ref="A1:AZ102"/>
  <sheetViews>
    <sheetView workbookViewId="0"/>
  </sheetViews>
  <sheetFormatPr defaultColWidth="9.1796875" defaultRowHeight="14.5" x14ac:dyDescent="0.35"/>
  <cols>
    <col min="1" max="1" width="33.54296875" style="5" customWidth="1"/>
    <col min="2" max="2" width="30" style="5" customWidth="1"/>
    <col min="3" max="3" width="21.81640625" style="5" customWidth="1"/>
    <col min="4" max="4" width="17.81640625" style="5" customWidth="1"/>
    <col min="5" max="16384" width="9.1796875" style="5"/>
  </cols>
  <sheetData>
    <row r="1" spans="1:11" ht="20" thickBot="1" x14ac:dyDescent="0.5">
      <c r="A1" s="94" t="s">
        <v>18</v>
      </c>
    </row>
    <row r="2" spans="1:11" ht="15" thickTop="1" x14ac:dyDescent="0.35">
      <c r="A2" s="144" t="s">
        <v>237</v>
      </c>
      <c r="B2" s="144"/>
      <c r="C2" s="144"/>
      <c r="D2" s="144"/>
      <c r="E2" s="144"/>
      <c r="F2" s="144"/>
      <c r="G2" s="144"/>
      <c r="H2" s="144"/>
    </row>
    <row r="3" spans="1:11" x14ac:dyDescent="0.35">
      <c r="A3" s="5" t="s">
        <v>203</v>
      </c>
    </row>
    <row r="4" spans="1:11" x14ac:dyDescent="0.35">
      <c r="A4" s="145" t="s">
        <v>344</v>
      </c>
      <c r="B4" s="144"/>
      <c r="C4" s="144"/>
      <c r="D4" s="144"/>
      <c r="E4" s="144"/>
      <c r="F4" s="144"/>
      <c r="G4" s="144"/>
      <c r="H4" s="144"/>
      <c r="I4" s="144"/>
      <c r="J4" s="144"/>
      <c r="K4" s="144"/>
    </row>
    <row r="5" spans="1:11" x14ac:dyDescent="0.35">
      <c r="A5" s="5" t="s">
        <v>203</v>
      </c>
    </row>
    <row r="6" spans="1:11" x14ac:dyDescent="0.35">
      <c r="A6" s="145" t="s">
        <v>291</v>
      </c>
      <c r="B6" s="144"/>
      <c r="C6" s="144"/>
      <c r="D6" s="144"/>
      <c r="E6" s="144"/>
      <c r="F6" s="144"/>
    </row>
    <row r="7" spans="1:11" x14ac:dyDescent="0.35">
      <c r="A7" s="145" t="s">
        <v>294</v>
      </c>
      <c r="B7" s="144"/>
      <c r="C7" s="144"/>
      <c r="D7" s="144"/>
      <c r="E7" s="144"/>
      <c r="F7" s="144"/>
      <c r="G7" s="144"/>
      <c r="H7" s="144"/>
      <c r="I7" s="144"/>
    </row>
    <row r="8" spans="1:11" x14ac:dyDescent="0.35">
      <c r="A8" s="145" t="s">
        <v>296</v>
      </c>
      <c r="B8" s="144"/>
      <c r="C8" s="144"/>
      <c r="D8" s="144"/>
      <c r="E8" s="144"/>
      <c r="F8" s="144"/>
    </row>
    <row r="9" spans="1:11" x14ac:dyDescent="0.35">
      <c r="A9" s="95" t="s">
        <v>280</v>
      </c>
    </row>
    <row r="10" spans="1:11" x14ac:dyDescent="0.35">
      <c r="A10" s="114" t="s">
        <v>281</v>
      </c>
      <c r="B10" s="104" t="s">
        <v>348</v>
      </c>
      <c r="C10" s="104" t="s">
        <v>283</v>
      </c>
      <c r="D10" s="104" t="s">
        <v>18</v>
      </c>
    </row>
    <row r="11" spans="1:11" x14ac:dyDescent="0.35">
      <c r="A11" s="148" t="s">
        <v>293</v>
      </c>
      <c r="B11" s="392">
        <f>SUM('Capital Costs'!C9:C23)+'Capital Costs'!A5</f>
        <v>9438646.037568856</v>
      </c>
      <c r="C11" s="23">
        <v>20</v>
      </c>
      <c r="D11" s="102">
        <f>IF(C11&gt;'Project Information'!$B$10,IFERROR(B11*((C11-'Project Information'!$B$10)/C11),0),0)</f>
        <v>0</v>
      </c>
    </row>
    <row r="12" spans="1:11" x14ac:dyDescent="0.35">
      <c r="A12" s="148" t="s">
        <v>282</v>
      </c>
      <c r="B12" s="155">
        <v>0</v>
      </c>
      <c r="C12" s="23">
        <v>0</v>
      </c>
      <c r="D12" s="102">
        <f>IF(C12&gt;'Project Information'!$B$10,IFERROR(B12*((C12-'Project Information'!$B$10)/C12),0),0)</f>
        <v>0</v>
      </c>
    </row>
    <row r="13" spans="1:11" x14ac:dyDescent="0.35">
      <c r="A13" s="148" t="s">
        <v>282</v>
      </c>
      <c r="B13" s="155">
        <v>0</v>
      </c>
      <c r="C13" s="23">
        <v>0</v>
      </c>
      <c r="D13" s="102">
        <f>IF(C13&gt;'Project Information'!$B$10,IFERROR(B13*((C13-'Project Information'!$B$10)/C13),0),0)</f>
        <v>0</v>
      </c>
    </row>
    <row r="14" spans="1:11" x14ac:dyDescent="0.35">
      <c r="A14" s="148" t="s">
        <v>282</v>
      </c>
      <c r="B14" s="155">
        <v>0</v>
      </c>
      <c r="C14" s="23">
        <v>0</v>
      </c>
      <c r="D14" s="102">
        <f>IF(C14&gt;'Project Information'!$B$10,IFERROR(B14*((C14-'Project Information'!$B$10)/C14),0),0)</f>
        <v>0</v>
      </c>
    </row>
    <row r="15" spans="1:11" x14ac:dyDescent="0.35">
      <c r="A15" s="148" t="s">
        <v>282</v>
      </c>
      <c r="B15" s="155">
        <v>0</v>
      </c>
      <c r="C15" s="23">
        <v>0</v>
      </c>
      <c r="D15" s="102">
        <f>IF(C15&gt;'Project Information'!$B$10,IFERROR(B15*((C15-'Project Information'!$B$10)/C15),0),0)</f>
        <v>0</v>
      </c>
    </row>
    <row r="16" spans="1:11" x14ac:dyDescent="0.35">
      <c r="A16" s="148" t="s">
        <v>282</v>
      </c>
      <c r="B16" s="155">
        <v>0</v>
      </c>
      <c r="C16" s="23">
        <v>0</v>
      </c>
      <c r="D16" s="102">
        <f>IF(C16&gt;'Project Information'!$B$10,IFERROR(B16*((C16-'Project Information'!$B$10)/C16),0),0)</f>
        <v>0</v>
      </c>
    </row>
    <row r="17" spans="1:52" x14ac:dyDescent="0.35">
      <c r="A17" s="3" t="s">
        <v>292</v>
      </c>
      <c r="B17" s="150"/>
      <c r="C17" s="151"/>
      <c r="D17" s="102">
        <f>SUM(D11:D16)</f>
        <v>0</v>
      </c>
    </row>
    <row r="18" spans="1:52" x14ac:dyDescent="0.35">
      <c r="A18" s="5" t="s">
        <v>203</v>
      </c>
    </row>
    <row r="19" spans="1:52" x14ac:dyDescent="0.35">
      <c r="A19" s="145" t="s">
        <v>317</v>
      </c>
      <c r="B19" s="145"/>
      <c r="C19" s="145"/>
      <c r="D19" s="145"/>
      <c r="E19" s="145"/>
      <c r="F19" s="145"/>
      <c r="G19" s="145"/>
    </row>
    <row r="20" spans="1:52" x14ac:dyDescent="0.35">
      <c r="A20" s="145" t="s">
        <v>297</v>
      </c>
      <c r="B20" s="145"/>
      <c r="C20" s="145"/>
      <c r="D20" s="145"/>
    </row>
    <row r="21" spans="1:52" ht="15" thickBot="1" x14ac:dyDescent="0.4">
      <c r="A21" s="95" t="s">
        <v>279</v>
      </c>
    </row>
    <row r="22" spans="1:52" x14ac:dyDescent="0.35">
      <c r="A22" s="104" t="s">
        <v>4</v>
      </c>
      <c r="B22" s="105" t="s">
        <v>18</v>
      </c>
      <c r="E22" s="10" t="s">
        <v>159</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2"/>
    </row>
    <row r="23" spans="1:52" x14ac:dyDescent="0.35">
      <c r="A23" s="6">
        <f>'Project Information'!$B$9</f>
        <v>2033</v>
      </c>
      <c r="B23" s="26">
        <f>IF(A23='Project Information'!$B$6+'Project Information'!$B$8+'Project Information'!$B$10+('Project Information'!$B$7-'Project Information'!$B$6-1),$D$17,0)</f>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2034</v>
      </c>
      <c r="B24" s="26">
        <f>IF(A24='Project Information'!$B$6+'Project Information'!$B$8+'Project Information'!$B$10+('Project Information'!$B$7-'Project Information'!$B$6-1),$D$17,0)</f>
        <v>0</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2035</v>
      </c>
      <c r="B25" s="26">
        <f>IF(A25='Project Information'!$B$6+'Project Information'!$B$8+'Project Information'!$B$10+('Project Information'!$B$7-'Project Information'!$B$6-1),$D$17,0)</f>
        <v>0</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2036</v>
      </c>
      <c r="B26" s="26">
        <f>IF(A26='Project Information'!$B$6+'Project Information'!$B$8+'Project Information'!$B$10+('Project Information'!$B$7-'Project Information'!$B$6-1),$D$17,0)</f>
        <v>0</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2037</v>
      </c>
      <c r="B27" s="26">
        <f>IF(A27='Project Information'!$B$6+'Project Information'!$B$8+'Project Information'!$B$10+('Project Information'!$B$7-'Project Information'!$B$6-1),$D$17,0)</f>
        <v>0</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f>IF(A27&lt;'Project Information'!B$11,A27+1,"")</f>
        <v>2038</v>
      </c>
      <c r="B28" s="26">
        <f>IF(A28='Project Information'!$B$6+'Project Information'!$B$8+'Project Information'!$B$10+('Project Information'!$B$7-'Project Information'!$B$6-1),$D$17,0)</f>
        <v>0</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f>IF(A28&lt;'Project Information'!B$11,A28+1,"")</f>
        <v>2039</v>
      </c>
      <c r="B29" s="26">
        <f>IF(A29='Project Information'!$B$6+'Project Information'!$B$8+'Project Information'!$B$10+('Project Information'!$B$7-'Project Information'!$B$6-1),$D$17,0)</f>
        <v>0</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f>IF(A29&lt;'Project Information'!B$11,A29+1,"")</f>
        <v>2040</v>
      </c>
      <c r="B30" s="26">
        <f>IF(A30='Project Information'!$B$6+'Project Information'!$B$8+'Project Information'!$B$10+('Project Information'!$B$7-'Project Information'!$B$6-1),$D$17,0)</f>
        <v>0</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f>IF(A30&lt;'Project Information'!B$11,A30+1,"")</f>
        <v>2041</v>
      </c>
      <c r="B31" s="26">
        <f>IF(A31='Project Information'!$B$6+'Project Information'!$B$8+'Project Information'!$B$10+('Project Information'!$B$7-'Project Information'!$B$6-1),$D$17,0)</f>
        <v>0</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f>IF(A31&lt;'Project Information'!B$11,A31+1,"")</f>
        <v>2042</v>
      </c>
      <c r="B32" s="26">
        <f>IF(A32='Project Information'!$B$6+'Project Information'!$B$8+'Project Information'!$B$10+('Project Information'!$B$7-'Project Information'!$B$6-1),$D$17,0)</f>
        <v>0</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f>IF(A32&lt;'Project Information'!B$11,A32+1,"")</f>
        <v>2043</v>
      </c>
      <c r="B33" s="26">
        <f>IF(A33='Project Information'!$B$6+'Project Information'!$B$8+'Project Information'!$B$10+('Project Information'!$B$7-'Project Information'!$B$6-1),$D$17,0)</f>
        <v>0</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f>IF(A33&lt;'Project Information'!B$11,A33+1,"")</f>
        <v>2044</v>
      </c>
      <c r="B34" s="26">
        <f>IF(A34='Project Information'!$B$6+'Project Information'!$B$8+'Project Information'!$B$10+('Project Information'!$B$7-'Project Information'!$B$6-1),$D$17,0)</f>
        <v>0</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f>IF(A34&lt;'Project Information'!B$11,A34+1,"")</f>
        <v>2045</v>
      </c>
      <c r="B35" s="26">
        <f>IF(A35='Project Information'!$B$6+'Project Information'!$B$8+'Project Information'!$B$10+('Project Information'!$B$7-'Project Information'!$B$6-1),$D$17,0)</f>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f>IF(A35&lt;'Project Information'!B$11,A35+1,"")</f>
        <v>2046</v>
      </c>
      <c r="B36" s="26">
        <f>IF(A36='Project Information'!$B$6+'Project Information'!$B$8+'Project Information'!$B$10+('Project Information'!$B$7-'Project Information'!$B$6-1),$D$17,0)</f>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1">
        <f>IF(A36&lt;'Project Information'!B$11,A36+1,"")</f>
        <v>2047</v>
      </c>
      <c r="B37" s="26">
        <f>IF(A37='Project Information'!$B$6+'Project Information'!$B$8+'Project Information'!$B$10+('Project Information'!$B$7-'Project Information'!$B$6-1),$D$17,0)</f>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A38" s="1">
        <f>IF(A37&lt;'Project Information'!B$11,A37+1,"")</f>
        <v>2048</v>
      </c>
      <c r="B38" s="26">
        <f>IF(A38='Project Information'!$B$6+'Project Information'!$B$8+'Project Information'!$B$10+('Project Information'!$B$7-'Project Information'!$B$6-1),$D$17,0)</f>
        <v>0</v>
      </c>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A39" s="1">
        <f>IF(A38&lt;'Project Information'!B$11,A38+1,"")</f>
        <v>2049</v>
      </c>
      <c r="B39" s="26">
        <f>IF(A39='Project Information'!$B$6+'Project Information'!$B$8+'Project Information'!$B$10+('Project Information'!$B$7-'Project Information'!$B$6-1),$D$17,0)</f>
        <v>0</v>
      </c>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A40" s="1">
        <f>IF(A39&lt;'Project Information'!B$11,A39+1,"")</f>
        <v>2050</v>
      </c>
      <c r="B40" s="26">
        <f>IF(A40='Project Information'!$B$6+'Project Information'!$B$8+'Project Information'!$B$10+('Project Information'!$B$7-'Project Information'!$B$6-1),$D$17,0)</f>
        <v>0</v>
      </c>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A41" s="1">
        <f>IF(A40&lt;'Project Information'!B$11,A40+1,"")</f>
        <v>2051</v>
      </c>
      <c r="B41" s="26">
        <f>IF(A41='Project Information'!$B$6+'Project Information'!$B$8+'Project Information'!$B$10+('Project Information'!$B$7-'Project Information'!$B$6-1),$D$17,0)</f>
        <v>0</v>
      </c>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A42" s="1">
        <f>IF(A41&lt;'Project Information'!B$11,A41+1,"")</f>
        <v>2052</v>
      </c>
      <c r="B42" s="26">
        <f>IF(A42='Project Information'!$B$6+'Project Information'!$B$8+'Project Information'!$B$10+('Project Information'!$B$7-'Project Information'!$B$6-1),$D$17,0)</f>
        <v>0</v>
      </c>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A43" s="1" t="str">
        <f>IF(A42&lt;'Project Information'!B$11,A42+1,"")</f>
        <v/>
      </c>
      <c r="B43" s="26">
        <f>IF(A43='Project Information'!$B$6+'Project Information'!$B$8+'Project Information'!$B$10+('Project Information'!$B$7-'Project Information'!$B$6-1),$D$17,0)</f>
        <v>0</v>
      </c>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A44" s="1" t="str">
        <f>IF(A43&lt;'Project Information'!B$11,A43+1,"")</f>
        <v/>
      </c>
      <c r="B44" s="26">
        <f>IF(A44='Project Information'!$B$6+'Project Information'!$B$8+'Project Information'!$B$10+('Project Information'!$B$7-'Project Information'!$B$6-1),$D$17,0)</f>
        <v>0</v>
      </c>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A45" s="1" t="str">
        <f>IF(A44&lt;'Project Information'!B$11,A44+1,"")</f>
        <v/>
      </c>
      <c r="B45" s="26">
        <f>IF(A45='Project Information'!$B$6+'Project Information'!$B$8+'Project Information'!$B$10+('Project Information'!$B$7-'Project Information'!$B$6-1),$D$17,0)</f>
        <v>0</v>
      </c>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A46" s="1" t="str">
        <f>IF(A45&lt;'Project Information'!B$11,A45+1,"")</f>
        <v/>
      </c>
      <c r="B46" s="26">
        <f>IF(A46='Project Information'!$B$6+'Project Information'!$B$8+'Project Information'!$B$10+('Project Information'!$B$7-'Project Information'!$B$6-1),$D$17,0)</f>
        <v>0</v>
      </c>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A47" s="1" t="str">
        <f>IF(A46&lt;'Project Information'!B$11,A46+1,"")</f>
        <v/>
      </c>
      <c r="B47" s="26">
        <f>IF(A47='Project Information'!$B$6+'Project Information'!$B$8+'Project Information'!$B$10+('Project Information'!$B$7-'Project Information'!$B$6-1),$D$17,0)</f>
        <v>0</v>
      </c>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A48" s="1" t="str">
        <f>IF(A47&lt;'Project Information'!B$11,A47+1,"")</f>
        <v/>
      </c>
      <c r="B48" s="26">
        <f>IF(A48='Project Information'!$B$6+'Project Information'!$B$8+'Project Information'!$B$10+('Project Information'!$B$7-'Project Information'!$B$6-1),$D$17,0)</f>
        <v>0</v>
      </c>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1:52" x14ac:dyDescent="0.35">
      <c r="A49" s="1" t="str">
        <f>IF(A48&lt;'Project Information'!B$11,A48+1,"")</f>
        <v/>
      </c>
      <c r="B49" s="26">
        <f>IF(A49='Project Information'!$B$6+'Project Information'!$B$8+'Project Information'!$B$10+('Project Information'!$B$7-'Project Information'!$B$6-1),$D$17,0)</f>
        <v>0</v>
      </c>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1:52" x14ac:dyDescent="0.35">
      <c r="A50" s="1" t="str">
        <f>IF(A49&lt;'Project Information'!B$11,A49+1,"")</f>
        <v/>
      </c>
      <c r="B50" s="26">
        <f>IF(A50='Project Information'!$B$6+'Project Information'!$B$8+'Project Information'!$B$10+('Project Information'!$B$7-'Project Information'!$B$6-1),$D$17,0)</f>
        <v>0</v>
      </c>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1:52" x14ac:dyDescent="0.35">
      <c r="A51" s="1" t="str">
        <f>IF(A50&lt;'Project Information'!B$11,A50+1,"")</f>
        <v/>
      </c>
      <c r="B51" s="26">
        <f>IF(A51='Project Information'!$B$6+'Project Information'!$B$8+'Project Information'!$B$10+('Project Information'!$B$7-'Project Information'!$B$6-1),$D$17,0)</f>
        <v>0</v>
      </c>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1:52" x14ac:dyDescent="0.35">
      <c r="A52" s="2" t="str">
        <f>IF(A51&lt;'Project Information'!B$11,A51+1,"")</f>
        <v/>
      </c>
      <c r="B52" s="157">
        <f>IF(A52='Project Information'!$B$6+'Project Information'!$B$8+'Project Information'!$B$10+('Project Information'!$B$7-'Project Information'!$B$6-1),$D$17,0)</f>
        <v>0</v>
      </c>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1: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1: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1: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1: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1: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1: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1: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1: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1: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1: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1: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1: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x14ac:dyDescent="0.35">
      <c r="E87" s="13"/>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s="14"/>
    </row>
    <row r="88" spans="5:52" x14ac:dyDescent="0.35">
      <c r="E88" s="13"/>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s="14"/>
    </row>
    <row r="89" spans="5:52" x14ac:dyDescent="0.35">
      <c r="E89" s="13"/>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s="14"/>
    </row>
    <row r="90" spans="5:52" x14ac:dyDescent="0.35">
      <c r="E90" s="13"/>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s="14"/>
    </row>
    <row r="91" spans="5:52" x14ac:dyDescent="0.35">
      <c r="E91" s="13"/>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s="14"/>
    </row>
    <row r="92" spans="5:52" x14ac:dyDescent="0.35">
      <c r="E92" s="13"/>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s="14"/>
    </row>
    <row r="93" spans="5:52" x14ac:dyDescent="0.35">
      <c r="E93" s="1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s="14"/>
    </row>
    <row r="94" spans="5:52" x14ac:dyDescent="0.35">
      <c r="E94" s="13"/>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s="14"/>
    </row>
    <row r="95" spans="5:52" x14ac:dyDescent="0.35">
      <c r="E95" s="13"/>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s="14"/>
    </row>
    <row r="96" spans="5:52" x14ac:dyDescent="0.35">
      <c r="E96" s="13"/>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s="14"/>
    </row>
    <row r="97" spans="5:52" x14ac:dyDescent="0.35">
      <c r="E97" s="13"/>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s="14"/>
    </row>
    <row r="98" spans="5:52" x14ac:dyDescent="0.35">
      <c r="E98" s="13"/>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s="14"/>
    </row>
    <row r="99" spans="5:52" x14ac:dyDescent="0.35">
      <c r="E99" s="13"/>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s="14"/>
    </row>
    <row r="100" spans="5:52" x14ac:dyDescent="0.35">
      <c r="E100" s="13"/>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s="14"/>
    </row>
    <row r="101" spans="5:52" x14ac:dyDescent="0.35">
      <c r="E101" s="13"/>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s="14"/>
    </row>
    <row r="102" spans="5:52" ht="15" thickBot="1" x14ac:dyDescent="0.4">
      <c r="E102" s="15"/>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7"/>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DF3C72DF-52D5-440E-BE83-E16345A5E25E}">
            <xm:f>A23='Project Information'!$B$11</xm:f>
            <x14:dxf>
              <font>
                <b val="0"/>
                <i/>
                <u val="none"/>
              </font>
              <fill>
                <patternFill>
                  <bgColor theme="4" tint="0.39994506668294322"/>
                </patternFill>
              </fill>
            </x14:dxf>
          </x14:cfRule>
          <xm:sqref>B23:B52</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188FB-EB92-4A38-827B-94B87D879DDC}">
  <sheetPr>
    <tabColor theme="9" tint="0.39997558519241921"/>
  </sheetPr>
  <dimension ref="A1:AZ87"/>
  <sheetViews>
    <sheetView workbookViewId="0"/>
  </sheetViews>
  <sheetFormatPr defaultColWidth="9.1796875" defaultRowHeight="14.5" x14ac:dyDescent="0.35"/>
  <cols>
    <col min="1" max="1" width="26.1796875" style="5" customWidth="1"/>
    <col min="2" max="2" width="40.7265625" style="5" customWidth="1"/>
    <col min="3" max="16384" width="9.1796875" style="5"/>
  </cols>
  <sheetData>
    <row r="1" spans="1:52" ht="20" thickBot="1" x14ac:dyDescent="0.5">
      <c r="A1" s="94" t="s">
        <v>13</v>
      </c>
    </row>
    <row r="2" spans="1:52" ht="15" thickTop="1" x14ac:dyDescent="0.35">
      <c r="A2" s="144" t="s">
        <v>231</v>
      </c>
      <c r="B2" s="144"/>
      <c r="C2" s="144"/>
      <c r="D2" s="144"/>
    </row>
    <row r="3" spans="1:52" x14ac:dyDescent="0.35">
      <c r="A3" s="5" t="s">
        <v>203</v>
      </c>
    </row>
    <row r="4" spans="1:52" x14ac:dyDescent="0.35">
      <c r="A4" s="145" t="s">
        <v>344</v>
      </c>
      <c r="B4" s="144"/>
      <c r="C4" s="144"/>
      <c r="D4" s="144"/>
      <c r="E4" s="144"/>
      <c r="F4" s="144"/>
      <c r="G4" s="144"/>
      <c r="H4" s="144"/>
      <c r="I4" s="144"/>
      <c r="J4" s="144"/>
      <c r="K4" s="144"/>
      <c r="L4" s="144"/>
      <c r="M4" s="144"/>
    </row>
    <row r="5" spans="1:52" x14ac:dyDescent="0.35">
      <c r="A5" s="5" t="s">
        <v>203</v>
      </c>
    </row>
    <row r="6" spans="1:52" ht="15" thickBot="1" x14ac:dyDescent="0.4">
      <c r="A6" s="95" t="s">
        <v>244</v>
      </c>
    </row>
    <row r="7" spans="1:52" x14ac:dyDescent="0.35">
      <c r="A7" s="104" t="s">
        <v>4</v>
      </c>
      <c r="B7" s="24" t="s">
        <v>13</v>
      </c>
      <c r="C7" s="5" t="s">
        <v>157</v>
      </c>
      <c r="E7" s="10" t="s">
        <v>159</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row>
    <row r="8" spans="1:52" x14ac:dyDescent="0.35">
      <c r="A8" s="6">
        <f>'Project Information'!$B$9</f>
        <v>2033</v>
      </c>
      <c r="B8" s="156">
        <v>0</v>
      </c>
      <c r="E8" s="13"/>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s="14"/>
    </row>
    <row r="9" spans="1:52" x14ac:dyDescent="0.35">
      <c r="A9" s="1">
        <f>IF(A8&lt;'Project Information'!B$11,A8+1,"")</f>
        <v>2034</v>
      </c>
      <c r="B9" s="156">
        <v>0</v>
      </c>
      <c r="E9" s="13"/>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s="14"/>
    </row>
    <row r="10" spans="1:52" x14ac:dyDescent="0.35">
      <c r="A10" s="1">
        <f>IF(A9&lt;'Project Information'!B$11,A9+1,"")</f>
        <v>2035</v>
      </c>
      <c r="B10" s="156">
        <v>0</v>
      </c>
      <c r="E10" s="13"/>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s="14"/>
    </row>
    <row r="11" spans="1:52" x14ac:dyDescent="0.35">
      <c r="A11" s="1">
        <f>IF(A10&lt;'Project Information'!B$11,A10+1,"")</f>
        <v>2036</v>
      </c>
      <c r="B11" s="156">
        <v>0</v>
      </c>
      <c r="E11" s="13"/>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s="14"/>
    </row>
    <row r="12" spans="1:52" x14ac:dyDescent="0.35">
      <c r="A12" s="1">
        <f>IF(A11&lt;'Project Information'!B$11,A11+1,"")</f>
        <v>2037</v>
      </c>
      <c r="B12" s="156">
        <v>0</v>
      </c>
      <c r="E12" s="13"/>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f>IF(A12&lt;'Project Information'!B$11,A12+1,"")</f>
        <v>2038</v>
      </c>
      <c r="B13" s="156">
        <v>0</v>
      </c>
      <c r="E13" s="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f>IF(A13&lt;'Project Information'!B$11,A13+1,"")</f>
        <v>2039</v>
      </c>
      <c r="B14" s="156">
        <v>0</v>
      </c>
      <c r="E14" s="13"/>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f>IF(A14&lt;'Project Information'!B$11,A14+1,"")</f>
        <v>2040</v>
      </c>
      <c r="B15" s="156">
        <v>0</v>
      </c>
      <c r="E15" s="13"/>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2041</v>
      </c>
      <c r="B16" s="156">
        <v>0</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2042</v>
      </c>
      <c r="B17" s="156">
        <v>0</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2043</v>
      </c>
      <c r="B18" s="156">
        <v>0</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2044</v>
      </c>
      <c r="B19" s="156">
        <v>0</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2045</v>
      </c>
      <c r="B20" s="156">
        <v>0</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2046</v>
      </c>
      <c r="B21" s="156">
        <v>0</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2047</v>
      </c>
      <c r="B22" s="156">
        <v>0</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2048</v>
      </c>
      <c r="B23" s="156">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2049</v>
      </c>
      <c r="B24" s="156">
        <v>0</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2050</v>
      </c>
      <c r="B25" s="156">
        <v>0</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2051</v>
      </c>
      <c r="B26" s="156">
        <v>0</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2052</v>
      </c>
      <c r="B27" s="156">
        <v>0</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t="str">
        <f>IF(A27&lt;'Project Information'!B$11,A27+1,"")</f>
        <v/>
      </c>
      <c r="B28" s="156">
        <v>0</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t="str">
        <f>IF(A28&lt;'Project Information'!B$11,A28+1,"")</f>
        <v/>
      </c>
      <c r="B29" s="156">
        <v>0</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t="str">
        <f>IF(A29&lt;'Project Information'!B$11,A29+1,"")</f>
        <v/>
      </c>
      <c r="B30" s="156">
        <v>0</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t="str">
        <f>IF(A30&lt;'Project Information'!B$11,A30+1,"")</f>
        <v/>
      </c>
      <c r="B31" s="156">
        <v>0</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t="str">
        <f>IF(A31&lt;'Project Information'!B$11,A31+1,"")</f>
        <v/>
      </c>
      <c r="B32" s="156">
        <v>0</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t="str">
        <f>IF(A32&lt;'Project Information'!B$11,A32+1,"")</f>
        <v/>
      </c>
      <c r="B33" s="156">
        <v>0</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t="str">
        <f>IF(A33&lt;'Project Information'!B$11,A33+1,"")</f>
        <v/>
      </c>
      <c r="B34" s="156">
        <v>0</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2" t="str">
        <f>IF(A36&lt;'Project Information'!B$11,A36+1,"")</f>
        <v/>
      </c>
      <c r="B37" s="117">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ht="15" thickBot="1" x14ac:dyDescent="0.4">
      <c r="E87" s="15"/>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7"/>
    </row>
  </sheetData>
  <conditionalFormatting sqref="B8:B37">
    <cfRule type="expression" dxfId="3" priority="1">
      <formula>A8=""</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2758C-DD7B-441C-AA2D-42F280A3896C}">
  <sheetPr>
    <tabColor theme="9" tint="0.39997558519241921"/>
  </sheetPr>
  <dimension ref="A1:AZ87"/>
  <sheetViews>
    <sheetView workbookViewId="0"/>
  </sheetViews>
  <sheetFormatPr defaultColWidth="9.1796875" defaultRowHeight="14.5" x14ac:dyDescent="0.35"/>
  <cols>
    <col min="1" max="1" width="26" style="5" customWidth="1"/>
    <col min="2" max="2" width="40.7265625" style="5" customWidth="1"/>
    <col min="3" max="16384" width="9.1796875" style="5"/>
  </cols>
  <sheetData>
    <row r="1" spans="1:52" ht="20" thickBot="1" x14ac:dyDescent="0.5">
      <c r="A1" s="94" t="s">
        <v>14</v>
      </c>
    </row>
    <row r="2" spans="1:52" ht="15" thickTop="1" x14ac:dyDescent="0.35">
      <c r="A2" s="144" t="s">
        <v>231</v>
      </c>
      <c r="B2" s="144"/>
      <c r="C2" s="144"/>
    </row>
    <row r="3" spans="1:52" x14ac:dyDescent="0.35">
      <c r="A3" s="5" t="s">
        <v>203</v>
      </c>
    </row>
    <row r="4" spans="1:52" x14ac:dyDescent="0.35">
      <c r="A4" s="145" t="s">
        <v>344</v>
      </c>
      <c r="B4" s="144"/>
      <c r="C4" s="144"/>
      <c r="D4" s="144"/>
      <c r="E4" s="144"/>
      <c r="F4" s="144"/>
      <c r="G4" s="144"/>
      <c r="H4" s="144"/>
      <c r="I4" s="144"/>
      <c r="J4" s="144"/>
      <c r="K4" s="144"/>
      <c r="L4" s="144"/>
    </row>
    <row r="5" spans="1:52" x14ac:dyDescent="0.35">
      <c r="A5" s="5" t="s">
        <v>203</v>
      </c>
    </row>
    <row r="6" spans="1:52" ht="15" thickBot="1" x14ac:dyDescent="0.4">
      <c r="A6" s="95" t="s">
        <v>244</v>
      </c>
    </row>
    <row r="7" spans="1:52" x14ac:dyDescent="0.35">
      <c r="A7" s="104" t="s">
        <v>4</v>
      </c>
      <c r="B7" s="24" t="s">
        <v>14</v>
      </c>
      <c r="C7" s="5" t="s">
        <v>157</v>
      </c>
      <c r="E7" s="10" t="s">
        <v>159</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row>
    <row r="8" spans="1:52" x14ac:dyDescent="0.35">
      <c r="A8" s="6">
        <f>'Project Information'!$B$9</f>
        <v>2033</v>
      </c>
      <c r="B8" s="156">
        <v>0</v>
      </c>
      <c r="E8" s="13"/>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s="14"/>
    </row>
    <row r="9" spans="1:52" x14ac:dyDescent="0.35">
      <c r="A9" s="1">
        <f>IF(A8&lt;'Project Information'!B$11,A8+1,"")</f>
        <v>2034</v>
      </c>
      <c r="B9" s="156">
        <v>0</v>
      </c>
      <c r="E9" s="13"/>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s="14"/>
    </row>
    <row r="10" spans="1:52" x14ac:dyDescent="0.35">
      <c r="A10" s="1">
        <f>IF(A9&lt;'Project Information'!B$11,A9+1,"")</f>
        <v>2035</v>
      </c>
      <c r="B10" s="156">
        <v>0</v>
      </c>
      <c r="E10" s="13"/>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s="14"/>
    </row>
    <row r="11" spans="1:52" x14ac:dyDescent="0.35">
      <c r="A11" s="1">
        <f>IF(A10&lt;'Project Information'!B$11,A10+1,"")</f>
        <v>2036</v>
      </c>
      <c r="B11" s="156">
        <v>0</v>
      </c>
      <c r="E11" s="13"/>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s="14"/>
    </row>
    <row r="12" spans="1:52" x14ac:dyDescent="0.35">
      <c r="A12" s="1">
        <f>IF(A11&lt;'Project Information'!B$11,A11+1,"")</f>
        <v>2037</v>
      </c>
      <c r="B12" s="156">
        <v>0</v>
      </c>
      <c r="E12" s="13"/>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f>IF(A12&lt;'Project Information'!B$11,A12+1,"")</f>
        <v>2038</v>
      </c>
      <c r="B13" s="156">
        <v>0</v>
      </c>
      <c r="E13" s="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f>IF(A13&lt;'Project Information'!B$11,A13+1,"")</f>
        <v>2039</v>
      </c>
      <c r="B14" s="156">
        <v>0</v>
      </c>
      <c r="E14" s="13"/>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f>IF(A14&lt;'Project Information'!B$11,A14+1,"")</f>
        <v>2040</v>
      </c>
      <c r="B15" s="156">
        <v>0</v>
      </c>
      <c r="E15" s="13"/>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2041</v>
      </c>
      <c r="B16" s="156">
        <v>0</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2042</v>
      </c>
      <c r="B17" s="156">
        <v>0</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2043</v>
      </c>
      <c r="B18" s="156">
        <v>0</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2044</v>
      </c>
      <c r="B19" s="156">
        <v>0</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2045</v>
      </c>
      <c r="B20" s="156">
        <v>0</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2046</v>
      </c>
      <c r="B21" s="156">
        <v>0</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2047</v>
      </c>
      <c r="B22" s="156">
        <v>0</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2048</v>
      </c>
      <c r="B23" s="156">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2049</v>
      </c>
      <c r="B24" s="156">
        <v>0</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2050</v>
      </c>
      <c r="B25" s="156">
        <v>0</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2051</v>
      </c>
      <c r="B26" s="156">
        <v>0</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2052</v>
      </c>
      <c r="B27" s="156">
        <v>0</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t="str">
        <f>IF(A27&lt;'Project Information'!B$11,A27+1,"")</f>
        <v/>
      </c>
      <c r="B28" s="156">
        <v>0</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t="str">
        <f>IF(A28&lt;'Project Information'!B$11,A28+1,"")</f>
        <v/>
      </c>
      <c r="B29" s="156">
        <v>0</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t="str">
        <f>IF(A29&lt;'Project Information'!B$11,A29+1,"")</f>
        <v/>
      </c>
      <c r="B30" s="156">
        <v>0</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t="str">
        <f>IF(A30&lt;'Project Information'!B$11,A30+1,"")</f>
        <v/>
      </c>
      <c r="B31" s="156">
        <v>0</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t="str">
        <f>IF(A31&lt;'Project Information'!B$11,A31+1,"")</f>
        <v/>
      </c>
      <c r="B32" s="156">
        <v>0</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t="str">
        <f>IF(A32&lt;'Project Information'!B$11,A32+1,"")</f>
        <v/>
      </c>
      <c r="B33" s="156">
        <v>0</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t="str">
        <f>IF(A33&lt;'Project Information'!B$11,A33+1,"")</f>
        <v/>
      </c>
      <c r="B34" s="156">
        <v>0</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2" t="str">
        <f>IF(A36&lt;'Project Information'!B$11,A36+1,"")</f>
        <v/>
      </c>
      <c r="B37" s="117">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ht="15" thickBot="1" x14ac:dyDescent="0.4">
      <c r="E87" s="15"/>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7"/>
    </row>
  </sheetData>
  <conditionalFormatting sqref="B8:B37">
    <cfRule type="expression" dxfId="2" priority="1">
      <formula>A8=""</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6E43-6B22-4737-8E2E-57A059E7E54E}">
  <sheetPr>
    <tabColor theme="9" tint="0.39997558519241921"/>
  </sheetPr>
  <dimension ref="A1:AZ87"/>
  <sheetViews>
    <sheetView workbookViewId="0"/>
  </sheetViews>
  <sheetFormatPr defaultColWidth="9.1796875" defaultRowHeight="14.5" x14ac:dyDescent="0.35"/>
  <cols>
    <col min="1" max="1" width="25.81640625" style="5" customWidth="1"/>
    <col min="2" max="2" width="40.7265625" style="5" customWidth="1"/>
    <col min="3" max="16384" width="9.1796875" style="5"/>
  </cols>
  <sheetData>
    <row r="1" spans="1:52" ht="20" thickBot="1" x14ac:dyDescent="0.5">
      <c r="A1" s="94" t="s">
        <v>15</v>
      </c>
    </row>
    <row r="2" spans="1:52" ht="15" thickTop="1" x14ac:dyDescent="0.35">
      <c r="A2" s="144" t="s">
        <v>231</v>
      </c>
      <c r="B2" s="144"/>
      <c r="C2" s="144"/>
    </row>
    <row r="3" spans="1:52" x14ac:dyDescent="0.35">
      <c r="A3" s="5" t="s">
        <v>203</v>
      </c>
    </row>
    <row r="4" spans="1:52" x14ac:dyDescent="0.35">
      <c r="A4" s="145" t="s">
        <v>344</v>
      </c>
      <c r="B4" s="144"/>
      <c r="C4" s="144"/>
      <c r="D4" s="144"/>
      <c r="E4" s="144"/>
      <c r="F4" s="144"/>
      <c r="G4" s="144"/>
      <c r="H4" s="144"/>
      <c r="I4" s="144"/>
      <c r="J4" s="144"/>
      <c r="K4" s="144"/>
      <c r="L4" s="144"/>
    </row>
    <row r="5" spans="1:52" x14ac:dyDescent="0.35">
      <c r="A5" s="5" t="s">
        <v>203</v>
      </c>
    </row>
    <row r="6" spans="1:52" ht="15" thickBot="1" x14ac:dyDescent="0.4">
      <c r="A6" s="95" t="s">
        <v>244</v>
      </c>
    </row>
    <row r="7" spans="1:52" x14ac:dyDescent="0.35">
      <c r="A7" s="104" t="s">
        <v>4</v>
      </c>
      <c r="B7" s="24" t="s">
        <v>15</v>
      </c>
      <c r="C7" s="5" t="s">
        <v>157</v>
      </c>
      <c r="E7" s="10" t="s">
        <v>159</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2"/>
    </row>
    <row r="8" spans="1:52" x14ac:dyDescent="0.35">
      <c r="A8" s="6">
        <f>'Project Information'!$B$9</f>
        <v>2033</v>
      </c>
      <c r="B8" s="156">
        <v>0</v>
      </c>
      <c r="E8" s="13"/>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s="14"/>
    </row>
    <row r="9" spans="1:52" x14ac:dyDescent="0.35">
      <c r="A9" s="1">
        <f>IF(A8&lt;'Project Information'!B$11,A8+1,"")</f>
        <v>2034</v>
      </c>
      <c r="B9" s="156">
        <v>0</v>
      </c>
      <c r="E9" s="13"/>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s="14"/>
    </row>
    <row r="10" spans="1:52" x14ac:dyDescent="0.35">
      <c r="A10" s="1">
        <f>IF(A9&lt;'Project Information'!B$11,A9+1,"")</f>
        <v>2035</v>
      </c>
      <c r="B10" s="156">
        <v>0</v>
      </c>
      <c r="E10" s="13"/>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s="14"/>
    </row>
    <row r="11" spans="1:52" x14ac:dyDescent="0.35">
      <c r="A11" s="1">
        <f>IF(A10&lt;'Project Information'!B$11,A10+1,"")</f>
        <v>2036</v>
      </c>
      <c r="B11" s="156">
        <v>0</v>
      </c>
      <c r="E11" s="13"/>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s="14"/>
    </row>
    <row r="12" spans="1:52" x14ac:dyDescent="0.35">
      <c r="A12" s="1">
        <f>IF(A11&lt;'Project Information'!B$11,A11+1,"")</f>
        <v>2037</v>
      </c>
      <c r="B12" s="156">
        <v>0</v>
      </c>
      <c r="E12" s="13"/>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f>IF(A12&lt;'Project Information'!B$11,A12+1,"")</f>
        <v>2038</v>
      </c>
      <c r="B13" s="156">
        <v>0</v>
      </c>
      <c r="E13" s="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f>IF(A13&lt;'Project Information'!B$11,A13+1,"")</f>
        <v>2039</v>
      </c>
      <c r="B14" s="156">
        <v>0</v>
      </c>
      <c r="E14" s="13"/>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f>IF(A14&lt;'Project Information'!B$11,A14+1,"")</f>
        <v>2040</v>
      </c>
      <c r="B15" s="156">
        <v>0</v>
      </c>
      <c r="E15" s="13"/>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2041</v>
      </c>
      <c r="B16" s="156">
        <v>0</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2042</v>
      </c>
      <c r="B17" s="156">
        <v>0</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2043</v>
      </c>
      <c r="B18" s="156">
        <v>0</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2044</v>
      </c>
      <c r="B19" s="156">
        <v>0</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2045</v>
      </c>
      <c r="B20" s="156">
        <v>0</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2046</v>
      </c>
      <c r="B21" s="156">
        <v>0</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2047</v>
      </c>
      <c r="B22" s="156">
        <v>0</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2048</v>
      </c>
      <c r="B23" s="156">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2049</v>
      </c>
      <c r="B24" s="156">
        <v>0</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2050</v>
      </c>
      <c r="B25" s="156">
        <v>0</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2051</v>
      </c>
      <c r="B26" s="156">
        <v>0</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2052</v>
      </c>
      <c r="B27" s="156">
        <v>0</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t="str">
        <f>IF(A27&lt;'Project Information'!B$11,A27+1,"")</f>
        <v/>
      </c>
      <c r="B28" s="156">
        <v>0</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t="str">
        <f>IF(A28&lt;'Project Information'!B$11,A28+1,"")</f>
        <v/>
      </c>
      <c r="B29" s="156">
        <v>0</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t="str">
        <f>IF(A29&lt;'Project Information'!B$11,A29+1,"")</f>
        <v/>
      </c>
      <c r="B30" s="156">
        <v>0</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t="str">
        <f>IF(A30&lt;'Project Information'!B$11,A30+1,"")</f>
        <v/>
      </c>
      <c r="B31" s="156">
        <v>0</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t="str">
        <f>IF(A31&lt;'Project Information'!B$11,A31+1,"")</f>
        <v/>
      </c>
      <c r="B32" s="156">
        <v>0</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t="str">
        <f>IF(A32&lt;'Project Information'!B$11,A32+1,"")</f>
        <v/>
      </c>
      <c r="B33" s="156">
        <v>0</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t="str">
        <f>IF(A33&lt;'Project Information'!B$11,A33+1,"")</f>
        <v/>
      </c>
      <c r="B34" s="156">
        <v>0</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2" t="str">
        <f>IF(A36&lt;'Project Information'!B$11,A36+1,"")</f>
        <v/>
      </c>
      <c r="B37" s="117">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ht="15" thickBot="1" x14ac:dyDescent="0.4">
      <c r="E87" s="15"/>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7"/>
    </row>
  </sheetData>
  <conditionalFormatting sqref="B8:B37">
    <cfRule type="expression" dxfId="1" priority="1">
      <formula>A8=""</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1C50E-A8C3-41A1-9AAA-104E7953FC32}">
  <sheetPr>
    <tabColor theme="9" tint="0.39997558519241921"/>
  </sheetPr>
  <dimension ref="A1:AZ91"/>
  <sheetViews>
    <sheetView workbookViewId="0"/>
  </sheetViews>
  <sheetFormatPr defaultColWidth="9.1796875" defaultRowHeight="14.5" x14ac:dyDescent="0.35"/>
  <cols>
    <col min="1" max="1" width="40.81640625" style="5" customWidth="1"/>
    <col min="2" max="2" width="40.7265625" style="5" customWidth="1"/>
    <col min="3" max="16384" width="9.1796875" style="5"/>
  </cols>
  <sheetData>
    <row r="1" spans="1:52" ht="20" thickBot="1" x14ac:dyDescent="0.5">
      <c r="A1" s="94" t="s">
        <v>16</v>
      </c>
    </row>
    <row r="2" spans="1:52" ht="15" thickTop="1" x14ac:dyDescent="0.35">
      <c r="A2" s="144" t="s">
        <v>232</v>
      </c>
      <c r="B2" s="144"/>
      <c r="C2" s="144"/>
      <c r="D2" s="144"/>
      <c r="E2" s="144"/>
      <c r="F2" s="144"/>
      <c r="G2" s="144"/>
    </row>
    <row r="3" spans="1:52" x14ac:dyDescent="0.35">
      <c r="A3" s="144" t="s">
        <v>234</v>
      </c>
      <c r="B3" s="144"/>
      <c r="C3" s="144"/>
    </row>
    <row r="4" spans="1:52" x14ac:dyDescent="0.35">
      <c r="A4" s="144" t="s">
        <v>233</v>
      </c>
      <c r="B4" s="144"/>
      <c r="C4" s="144"/>
      <c r="D4" s="144"/>
      <c r="E4" s="144"/>
      <c r="F4" s="144"/>
    </row>
    <row r="5" spans="1:52" x14ac:dyDescent="0.35">
      <c r="A5" s="5" t="s">
        <v>203</v>
      </c>
    </row>
    <row r="6" spans="1:52" x14ac:dyDescent="0.35">
      <c r="A6" s="144" t="s">
        <v>231</v>
      </c>
      <c r="B6" s="144"/>
    </row>
    <row r="7" spans="1:52" x14ac:dyDescent="0.35">
      <c r="A7" s="5" t="s">
        <v>203</v>
      </c>
    </row>
    <row r="8" spans="1:52" x14ac:dyDescent="0.35">
      <c r="A8" s="145" t="s">
        <v>344</v>
      </c>
      <c r="B8" s="144"/>
      <c r="C8" s="144"/>
      <c r="D8" s="144"/>
      <c r="E8" s="144"/>
      <c r="F8" s="144"/>
      <c r="G8" s="144"/>
      <c r="H8" s="144"/>
      <c r="I8" s="144"/>
      <c r="J8" s="144"/>
      <c r="K8" s="144"/>
    </row>
    <row r="9" spans="1:52" x14ac:dyDescent="0.35">
      <c r="A9" s="38" t="s">
        <v>203</v>
      </c>
    </row>
    <row r="10" spans="1:52" ht="15" thickBot="1" x14ac:dyDescent="0.4">
      <c r="A10" s="95" t="s">
        <v>244</v>
      </c>
    </row>
    <row r="11" spans="1:52" x14ac:dyDescent="0.35">
      <c r="A11" s="106" t="s">
        <v>4</v>
      </c>
      <c r="B11" s="24" t="s">
        <v>16</v>
      </c>
      <c r="C11" s="5" t="s">
        <v>157</v>
      </c>
      <c r="E11" s="10" t="s">
        <v>159</v>
      </c>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2"/>
    </row>
    <row r="12" spans="1:52" x14ac:dyDescent="0.35">
      <c r="A12" s="6">
        <f>'Project Information'!$B$9</f>
        <v>2033</v>
      </c>
      <c r="B12" s="156">
        <v>0</v>
      </c>
      <c r="E12" s="13"/>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s="14"/>
    </row>
    <row r="13" spans="1:52" x14ac:dyDescent="0.35">
      <c r="A13" s="1">
        <f>IF(A12&lt;'Project Information'!B$11,A12+1,"")</f>
        <v>2034</v>
      </c>
      <c r="B13" s="156">
        <v>0</v>
      </c>
      <c r="E13" s="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s="14"/>
    </row>
    <row r="14" spans="1:52" x14ac:dyDescent="0.35">
      <c r="A14" s="1">
        <f>IF(A13&lt;'Project Information'!B$11,A13+1,"")</f>
        <v>2035</v>
      </c>
      <c r="B14" s="156">
        <v>0</v>
      </c>
      <c r="E14" s="13"/>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s="14"/>
    </row>
    <row r="15" spans="1:52" x14ac:dyDescent="0.35">
      <c r="A15" s="1">
        <f>IF(A14&lt;'Project Information'!B$11,A14+1,"")</f>
        <v>2036</v>
      </c>
      <c r="B15" s="156">
        <v>0</v>
      </c>
      <c r="E15" s="13"/>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s="14"/>
    </row>
    <row r="16" spans="1:52" x14ac:dyDescent="0.35">
      <c r="A16" s="1">
        <f>IF(A15&lt;'Project Information'!B$11,A15+1,"")</f>
        <v>2037</v>
      </c>
      <c r="B16" s="156">
        <v>0</v>
      </c>
      <c r="E16" s="13"/>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s="14"/>
    </row>
    <row r="17" spans="1:52" x14ac:dyDescent="0.35">
      <c r="A17" s="1">
        <f>IF(A16&lt;'Project Information'!B$11,A16+1,"")</f>
        <v>2038</v>
      </c>
      <c r="B17" s="156">
        <v>0</v>
      </c>
      <c r="E17" s="13"/>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s="14"/>
    </row>
    <row r="18" spans="1:52" x14ac:dyDescent="0.35">
      <c r="A18" s="1">
        <f>IF(A17&lt;'Project Information'!B$11,A17+1,"")</f>
        <v>2039</v>
      </c>
      <c r="B18" s="156">
        <v>0</v>
      </c>
      <c r="E18" s="13"/>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s="14"/>
    </row>
    <row r="19" spans="1:52" x14ac:dyDescent="0.35">
      <c r="A19" s="1">
        <f>IF(A18&lt;'Project Information'!B$11,A18+1,"")</f>
        <v>2040</v>
      </c>
      <c r="B19" s="156">
        <v>0</v>
      </c>
      <c r="E19" s="13"/>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s="14"/>
    </row>
    <row r="20" spans="1:52" x14ac:dyDescent="0.35">
      <c r="A20" s="1">
        <f>IF(A19&lt;'Project Information'!B$11,A19+1,"")</f>
        <v>2041</v>
      </c>
      <c r="B20" s="156">
        <v>0</v>
      </c>
      <c r="E20" s="13"/>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s="14"/>
    </row>
    <row r="21" spans="1:52" x14ac:dyDescent="0.35">
      <c r="A21" s="1">
        <f>IF(A20&lt;'Project Information'!B$11,A20+1,"")</f>
        <v>2042</v>
      </c>
      <c r="B21" s="156">
        <v>0</v>
      </c>
      <c r="E21" s="13"/>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s="14"/>
    </row>
    <row r="22" spans="1:52" x14ac:dyDescent="0.35">
      <c r="A22" s="1">
        <f>IF(A21&lt;'Project Information'!B$11,A21+1,"")</f>
        <v>2043</v>
      </c>
      <c r="B22" s="156">
        <v>0</v>
      </c>
      <c r="E22" s="13"/>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s="14"/>
    </row>
    <row r="23" spans="1:52" x14ac:dyDescent="0.35">
      <c r="A23" s="1">
        <f>IF(A22&lt;'Project Information'!B$11,A22+1,"")</f>
        <v>2044</v>
      </c>
      <c r="B23" s="156">
        <v>0</v>
      </c>
      <c r="E23" s="1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s="14"/>
    </row>
    <row r="24" spans="1:52" x14ac:dyDescent="0.35">
      <c r="A24" s="1">
        <f>IF(A23&lt;'Project Information'!B$11,A23+1,"")</f>
        <v>2045</v>
      </c>
      <c r="B24" s="156">
        <v>0</v>
      </c>
      <c r="E24" s="13"/>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s="14"/>
    </row>
    <row r="25" spans="1:52" x14ac:dyDescent="0.35">
      <c r="A25" s="1">
        <f>IF(A24&lt;'Project Information'!B$11,A24+1,"")</f>
        <v>2046</v>
      </c>
      <c r="B25" s="156">
        <v>0</v>
      </c>
      <c r="E25" s="13"/>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s="14"/>
    </row>
    <row r="26" spans="1:52" x14ac:dyDescent="0.35">
      <c r="A26" s="1">
        <f>IF(A25&lt;'Project Information'!B$11,A25+1,"")</f>
        <v>2047</v>
      </c>
      <c r="B26" s="156">
        <v>0</v>
      </c>
      <c r="E26" s="13"/>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s="14"/>
    </row>
    <row r="27" spans="1:52" x14ac:dyDescent="0.35">
      <c r="A27" s="1">
        <f>IF(A26&lt;'Project Information'!B$11,A26+1,"")</f>
        <v>2048</v>
      </c>
      <c r="B27" s="156">
        <v>0</v>
      </c>
      <c r="E27" s="13"/>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s="14"/>
    </row>
    <row r="28" spans="1:52" x14ac:dyDescent="0.35">
      <c r="A28" s="1">
        <f>IF(A27&lt;'Project Information'!B$11,A27+1,"")</f>
        <v>2049</v>
      </c>
      <c r="B28" s="156">
        <v>0</v>
      </c>
      <c r="E28" s="13"/>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s="14"/>
    </row>
    <row r="29" spans="1:52" x14ac:dyDescent="0.35">
      <c r="A29" s="1">
        <f>IF(A28&lt;'Project Information'!B$11,A28+1,"")</f>
        <v>2050</v>
      </c>
      <c r="B29" s="156">
        <v>0</v>
      </c>
      <c r="E29" s="13"/>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s="14"/>
    </row>
    <row r="30" spans="1:52" x14ac:dyDescent="0.35">
      <c r="A30" s="1">
        <f>IF(A29&lt;'Project Information'!B$11,A29+1,"")</f>
        <v>2051</v>
      </c>
      <c r="B30" s="156">
        <v>0</v>
      </c>
      <c r="E30" s="13"/>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s="14"/>
    </row>
    <row r="31" spans="1:52" x14ac:dyDescent="0.35">
      <c r="A31" s="1">
        <f>IF(A30&lt;'Project Information'!B$11,A30+1,"")</f>
        <v>2052</v>
      </c>
      <c r="B31" s="156">
        <v>0</v>
      </c>
      <c r="E31" s="13"/>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s="14"/>
    </row>
    <row r="32" spans="1:52" x14ac:dyDescent="0.35">
      <c r="A32" s="1" t="str">
        <f>IF(A31&lt;'Project Information'!B$11,A31+1,"")</f>
        <v/>
      </c>
      <c r="B32" s="156">
        <v>0</v>
      </c>
      <c r="E32" s="13"/>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s="14"/>
    </row>
    <row r="33" spans="1:52" x14ac:dyDescent="0.35">
      <c r="A33" s="1" t="str">
        <f>IF(A32&lt;'Project Information'!B$11,A32+1,"")</f>
        <v/>
      </c>
      <c r="B33" s="156">
        <v>0</v>
      </c>
      <c r="E33" s="1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s="14"/>
    </row>
    <row r="34" spans="1:52" x14ac:dyDescent="0.35">
      <c r="A34" s="1" t="str">
        <f>IF(A33&lt;'Project Information'!B$11,A33+1,"")</f>
        <v/>
      </c>
      <c r="B34" s="156">
        <v>0</v>
      </c>
      <c r="E34" s="13"/>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s="14"/>
    </row>
    <row r="35" spans="1:52" x14ac:dyDescent="0.35">
      <c r="A35" s="1" t="str">
        <f>IF(A34&lt;'Project Information'!B$11,A34+1,"")</f>
        <v/>
      </c>
      <c r="B35" s="156">
        <v>0</v>
      </c>
      <c r="E35" s="13"/>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s="14"/>
    </row>
    <row r="36" spans="1:52" x14ac:dyDescent="0.35">
      <c r="A36" s="1" t="str">
        <f>IF(A35&lt;'Project Information'!B$11,A35+1,"")</f>
        <v/>
      </c>
      <c r="B36" s="156">
        <v>0</v>
      </c>
      <c r="E36" s="13"/>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s="14"/>
    </row>
    <row r="37" spans="1:52" x14ac:dyDescent="0.35">
      <c r="A37" s="1" t="str">
        <f>IF(A36&lt;'Project Information'!B$11,A36+1,"")</f>
        <v/>
      </c>
      <c r="B37" s="156">
        <v>0</v>
      </c>
      <c r="E37" s="13"/>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s="14"/>
    </row>
    <row r="38" spans="1:52" x14ac:dyDescent="0.35">
      <c r="A38" s="1" t="str">
        <f>IF(A37&lt;'Project Information'!B$11,A37+1,"")</f>
        <v/>
      </c>
      <c r="B38" s="156">
        <v>0</v>
      </c>
      <c r="E38" s="13"/>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s="14"/>
    </row>
    <row r="39" spans="1:52" x14ac:dyDescent="0.35">
      <c r="A39" s="1" t="str">
        <f>IF(A38&lt;'Project Information'!B$11,A38+1,"")</f>
        <v/>
      </c>
      <c r="B39" s="156">
        <v>0</v>
      </c>
      <c r="E39" s="13"/>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s="14"/>
    </row>
    <row r="40" spans="1:52" x14ac:dyDescent="0.35">
      <c r="A40" s="1" t="str">
        <f>IF(A39&lt;'Project Information'!B$11,A39+1,"")</f>
        <v/>
      </c>
      <c r="B40" s="156">
        <v>0</v>
      </c>
      <c r="E40" s="13"/>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s="14"/>
    </row>
    <row r="41" spans="1:52" x14ac:dyDescent="0.35">
      <c r="A41" s="2" t="str">
        <f>IF(A40&lt;'Project Information'!B$11,A40+1,"")</f>
        <v/>
      </c>
      <c r="B41" s="117">
        <v>0</v>
      </c>
      <c r="E41" s="13"/>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s="14"/>
    </row>
    <row r="42" spans="1:52" x14ac:dyDescent="0.35">
      <c r="E42" s="13"/>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s="14"/>
    </row>
    <row r="43" spans="1:52" x14ac:dyDescent="0.35">
      <c r="E43" s="1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s="14"/>
    </row>
    <row r="44" spans="1:52" x14ac:dyDescent="0.35">
      <c r="E44" s="13"/>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s="14"/>
    </row>
    <row r="45" spans="1:52" x14ac:dyDescent="0.35">
      <c r="E45" s="13"/>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s="14"/>
    </row>
    <row r="46" spans="1:52" x14ac:dyDescent="0.35">
      <c r="E46" s="13"/>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s="14"/>
    </row>
    <row r="47" spans="1:52" x14ac:dyDescent="0.35">
      <c r="E47" s="13"/>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s="14"/>
    </row>
    <row r="48" spans="1:52" x14ac:dyDescent="0.35">
      <c r="E48" s="13"/>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s="14"/>
    </row>
    <row r="49" spans="5:52" x14ac:dyDescent="0.35">
      <c r="E49" s="13"/>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s="14"/>
    </row>
    <row r="50" spans="5:52" x14ac:dyDescent="0.35">
      <c r="E50" s="13"/>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s="14"/>
    </row>
    <row r="51" spans="5:52" x14ac:dyDescent="0.35">
      <c r="E51" s="13"/>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s="14"/>
    </row>
    <row r="52" spans="5:52" x14ac:dyDescent="0.35">
      <c r="E52" s="13"/>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s="14"/>
    </row>
    <row r="53" spans="5:52" x14ac:dyDescent="0.35">
      <c r="E53" s="1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s="14"/>
    </row>
    <row r="54" spans="5:52" x14ac:dyDescent="0.35">
      <c r="E54" s="13"/>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s="14"/>
    </row>
    <row r="55" spans="5:52" x14ac:dyDescent="0.35">
      <c r="E55" s="13"/>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s="14"/>
    </row>
    <row r="56" spans="5:52" x14ac:dyDescent="0.35">
      <c r="E56" s="13"/>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s="14"/>
    </row>
    <row r="57" spans="5:52" x14ac:dyDescent="0.35">
      <c r="E57" s="13"/>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s="14"/>
    </row>
    <row r="58" spans="5:52" x14ac:dyDescent="0.35">
      <c r="E58" s="13"/>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s="14"/>
    </row>
    <row r="59" spans="5:52" x14ac:dyDescent="0.35">
      <c r="E59" s="13"/>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s="14"/>
    </row>
    <row r="60" spans="5:52" x14ac:dyDescent="0.35">
      <c r="E60" s="1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s="14"/>
    </row>
    <row r="61" spans="5:52" x14ac:dyDescent="0.35">
      <c r="E61" s="1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s="14"/>
    </row>
    <row r="62" spans="5:52" x14ac:dyDescent="0.35">
      <c r="E62" s="1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s="14"/>
    </row>
    <row r="63" spans="5:52" x14ac:dyDescent="0.35">
      <c r="E63" s="1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s="14"/>
    </row>
    <row r="64" spans="5:52" x14ac:dyDescent="0.35">
      <c r="E64" s="1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s="14"/>
    </row>
    <row r="65" spans="5:52" x14ac:dyDescent="0.35">
      <c r="E65" s="13"/>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s="14"/>
    </row>
    <row r="66" spans="5:52" x14ac:dyDescent="0.35">
      <c r="E66" s="1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s="14"/>
    </row>
    <row r="67" spans="5:52" x14ac:dyDescent="0.35">
      <c r="E67" s="13"/>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s="14"/>
    </row>
    <row r="68" spans="5:52" x14ac:dyDescent="0.35">
      <c r="E68" s="13"/>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s="14"/>
    </row>
    <row r="69" spans="5:52" x14ac:dyDescent="0.35">
      <c r="E69" s="13"/>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s="14"/>
    </row>
    <row r="70" spans="5:52" x14ac:dyDescent="0.35">
      <c r="E70" s="13"/>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s="14"/>
    </row>
    <row r="71" spans="5:52" x14ac:dyDescent="0.35">
      <c r="E71" s="13"/>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s="14"/>
    </row>
    <row r="72" spans="5:52" x14ac:dyDescent="0.35">
      <c r="E72" s="13"/>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s="14"/>
    </row>
    <row r="73" spans="5:52" x14ac:dyDescent="0.35">
      <c r="E73" s="1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s="14"/>
    </row>
    <row r="74" spans="5:52" x14ac:dyDescent="0.35">
      <c r="E74" s="13"/>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s="14"/>
    </row>
    <row r="75" spans="5:52" x14ac:dyDescent="0.35">
      <c r="E75" s="13"/>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s="14"/>
    </row>
    <row r="76" spans="5:52" x14ac:dyDescent="0.35">
      <c r="E76" s="13"/>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s="14"/>
    </row>
    <row r="77" spans="5:52" x14ac:dyDescent="0.35">
      <c r="E77" s="13"/>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s="14"/>
    </row>
    <row r="78" spans="5:52" x14ac:dyDescent="0.35">
      <c r="E78" s="13"/>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s="14"/>
    </row>
    <row r="79" spans="5:52" x14ac:dyDescent="0.35">
      <c r="E79" s="13"/>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s="14"/>
    </row>
    <row r="80" spans="5:52" x14ac:dyDescent="0.35">
      <c r="E80" s="13"/>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s="14"/>
    </row>
    <row r="81" spans="5:52" x14ac:dyDescent="0.35">
      <c r="E81" s="13"/>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s="14"/>
    </row>
    <row r="82" spans="5:52" x14ac:dyDescent="0.35">
      <c r="E82" s="13"/>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s="14"/>
    </row>
    <row r="83" spans="5:52" x14ac:dyDescent="0.35">
      <c r="E83" s="1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s="14"/>
    </row>
    <row r="84" spans="5:52" x14ac:dyDescent="0.35">
      <c r="E84" s="13"/>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s="14"/>
    </row>
    <row r="85" spans="5:52" x14ac:dyDescent="0.35">
      <c r="E85" s="13"/>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s="14"/>
    </row>
    <row r="86" spans="5:52" x14ac:dyDescent="0.35">
      <c r="E86" s="13"/>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s="14"/>
    </row>
    <row r="87" spans="5:52" x14ac:dyDescent="0.35">
      <c r="E87" s="13"/>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s="14"/>
    </row>
    <row r="88" spans="5:52" x14ac:dyDescent="0.35">
      <c r="E88" s="13"/>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s="14"/>
    </row>
    <row r="89" spans="5:52" x14ac:dyDescent="0.35">
      <c r="E89" s="13"/>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s="14"/>
    </row>
    <row r="90" spans="5:52" x14ac:dyDescent="0.35">
      <c r="E90" s="13"/>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s="14"/>
    </row>
    <row r="91" spans="5:52" ht="15" thickBot="1" x14ac:dyDescent="0.4">
      <c r="E91" s="15"/>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7"/>
    </row>
  </sheetData>
  <conditionalFormatting sqref="B12:B41">
    <cfRule type="expression" dxfId="0" priority="1">
      <formula>A12=""</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2030F-0DCB-47A4-8B7C-59B29EFC49C8}">
  <sheetPr>
    <tabColor rgb="FF002060"/>
  </sheetPr>
  <dimension ref="B2:G15"/>
  <sheetViews>
    <sheetView showGridLines="0" workbookViewId="0"/>
  </sheetViews>
  <sheetFormatPr defaultRowHeight="14.5" x14ac:dyDescent="0.35"/>
  <cols>
    <col min="2" max="2" width="26.7265625" bestFit="1" customWidth="1"/>
    <col min="3" max="3" width="12.1796875" bestFit="1" customWidth="1"/>
    <col min="4" max="4" width="11.54296875" bestFit="1" customWidth="1"/>
    <col min="5" max="5" width="12" bestFit="1" customWidth="1"/>
    <col min="6" max="6" width="3.6328125" customWidth="1"/>
    <col min="7" max="7" width="17.1796875" customWidth="1"/>
  </cols>
  <sheetData>
    <row r="2" spans="2:7" ht="15" thickBot="1" x14ac:dyDescent="0.4">
      <c r="B2" s="433" t="s">
        <v>1664</v>
      </c>
      <c r="C2" s="434"/>
      <c r="D2" s="434"/>
      <c r="E2" s="435"/>
    </row>
    <row r="3" spans="2:7" x14ac:dyDescent="0.35">
      <c r="B3" s="436"/>
      <c r="C3" s="436" t="s">
        <v>1659</v>
      </c>
      <c r="D3" s="437" t="s">
        <v>1660</v>
      </c>
      <c r="E3" s="437" t="s">
        <v>1661</v>
      </c>
    </row>
    <row r="4" spans="2:7" x14ac:dyDescent="0.35">
      <c r="B4" s="505" t="s">
        <v>5</v>
      </c>
      <c r="C4" s="425">
        <f>-Summary!$B$56</f>
        <v>-9438646.037568856</v>
      </c>
      <c r="D4" s="426"/>
      <c r="E4" s="425">
        <f>-Summary!$C$56</f>
        <v>-5894729.9069035957</v>
      </c>
    </row>
    <row r="5" spans="2:7" x14ac:dyDescent="0.35">
      <c r="B5" s="311" t="s">
        <v>1691</v>
      </c>
      <c r="C5" s="427"/>
      <c r="D5" s="428">
        <f>-Summary!$B$36</f>
        <v>1434000</v>
      </c>
      <c r="E5" s="428">
        <f>-Summary!$B$37</f>
        <v>745369.35003880353</v>
      </c>
    </row>
    <row r="6" spans="2:7" x14ac:dyDescent="0.35">
      <c r="B6" s="321" t="s">
        <v>8</v>
      </c>
      <c r="C6" s="429"/>
      <c r="D6" s="430">
        <f>Summary!$C$36</f>
        <v>43967738.293235689</v>
      </c>
      <c r="E6" s="430">
        <f>Summary!$C$37</f>
        <v>13549945.261779483</v>
      </c>
    </row>
    <row r="7" spans="2:7" x14ac:dyDescent="0.35">
      <c r="B7" s="321" t="s">
        <v>9</v>
      </c>
      <c r="C7" s="429"/>
      <c r="D7" s="430"/>
      <c r="E7" s="430"/>
      <c r="G7" s="347"/>
    </row>
    <row r="8" spans="2:7" x14ac:dyDescent="0.35">
      <c r="B8" s="321" t="s">
        <v>10</v>
      </c>
      <c r="C8" s="429"/>
      <c r="D8" s="430"/>
      <c r="E8" s="430"/>
      <c r="G8" s="347"/>
    </row>
    <row r="9" spans="2:7" x14ac:dyDescent="0.35">
      <c r="B9" s="321" t="s">
        <v>1662</v>
      </c>
      <c r="C9" s="429"/>
      <c r="D9" s="430"/>
      <c r="E9" s="430"/>
      <c r="G9" s="347"/>
    </row>
    <row r="10" spans="2:7" x14ac:dyDescent="0.35">
      <c r="B10" s="506" t="s">
        <v>12</v>
      </c>
      <c r="C10" s="501"/>
      <c r="D10" s="502">
        <f>Summary!$I$36</f>
        <v>5103022.5836496586</v>
      </c>
      <c r="E10" s="502">
        <f>Summary!$I$37</f>
        <v>1572645.7543312248</v>
      </c>
      <c r="G10" s="438"/>
    </row>
    <row r="11" spans="2:7" ht="15" thickBot="1" x14ac:dyDescent="0.4">
      <c r="B11" s="507" t="s">
        <v>11</v>
      </c>
      <c r="C11" s="503"/>
      <c r="D11" s="504">
        <f>Summary!$J$36</f>
        <v>739662.83187337907</v>
      </c>
      <c r="E11" s="504">
        <f>Summary!$J$37</f>
        <v>227948.74772075773</v>
      </c>
      <c r="G11" s="347"/>
    </row>
    <row r="12" spans="2:7" ht="15" thickTop="1" x14ac:dyDescent="0.35">
      <c r="B12" s="422" t="s">
        <v>19</v>
      </c>
      <c r="C12" s="431">
        <f>SUM(C4:C11)</f>
        <v>-9438646.037568856</v>
      </c>
      <c r="D12" s="431">
        <f>SUM(D4:D11)</f>
        <v>51244423.708758727</v>
      </c>
      <c r="E12" s="431">
        <f>SUM(E4:E11)</f>
        <v>10201179.206966674</v>
      </c>
    </row>
    <row r="13" spans="2:7" x14ac:dyDescent="0.35">
      <c r="B13" s="211"/>
      <c r="C13" s="432"/>
      <c r="D13" s="432"/>
      <c r="E13" s="432"/>
    </row>
    <row r="14" spans="2:7" x14ac:dyDescent="0.35">
      <c r="B14" s="423" t="s">
        <v>2</v>
      </c>
      <c r="C14" s="530">
        <f>E12</f>
        <v>10201179.206966674</v>
      </c>
      <c r="D14" s="531"/>
      <c r="E14" s="532"/>
    </row>
    <row r="15" spans="2:7" x14ac:dyDescent="0.35">
      <c r="B15" s="424" t="s">
        <v>1663</v>
      </c>
      <c r="C15" s="533">
        <f>'Final Results'!B8</f>
        <v>2.7305592229119098</v>
      </c>
      <c r="D15" s="534"/>
      <c r="E15" s="535"/>
    </row>
  </sheetData>
  <mergeCells count="2">
    <mergeCell ref="C14:E14"/>
    <mergeCell ref="C15:E1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223E3-CA4A-450A-91B0-3ECFC3741DDC}">
  <sheetPr>
    <tabColor theme="8" tint="0.39997558519241921"/>
  </sheetPr>
  <dimension ref="A1:Q65"/>
  <sheetViews>
    <sheetView workbookViewId="0"/>
  </sheetViews>
  <sheetFormatPr defaultColWidth="9.1796875" defaultRowHeight="14.5" x14ac:dyDescent="0.35"/>
  <cols>
    <col min="1" max="1" width="32.54296875" style="5" customWidth="1"/>
    <col min="2" max="2" width="30.26953125" style="5" customWidth="1"/>
    <col min="3" max="3" width="99.453125" style="5" bestFit="1" customWidth="1"/>
    <col min="4" max="4" width="25.453125" style="5" customWidth="1"/>
    <col min="5" max="5" width="31" style="5" customWidth="1"/>
    <col min="6" max="6" width="27.81640625" style="5" customWidth="1"/>
    <col min="7" max="7" width="27.453125" style="5" customWidth="1"/>
    <col min="8" max="8" width="28.7265625" style="5" customWidth="1"/>
    <col min="9" max="9" width="30.81640625" style="5" customWidth="1"/>
    <col min="10" max="10" width="30.26953125" style="5" customWidth="1"/>
    <col min="11" max="11" width="26.453125" style="5" customWidth="1"/>
    <col min="12" max="12" width="21.1796875" style="5" customWidth="1"/>
    <col min="13" max="13" width="19.453125" style="5" customWidth="1"/>
    <col min="14" max="14" width="21" style="5" customWidth="1"/>
    <col min="15" max="15" width="19" style="5" customWidth="1"/>
    <col min="16" max="16" width="19.453125" style="5" customWidth="1"/>
    <col min="17" max="17" width="25.7265625" style="5" customWidth="1"/>
    <col min="18" max="18" width="18.1796875" style="5" customWidth="1"/>
    <col min="19" max="19" width="11" style="5" customWidth="1"/>
    <col min="20" max="20" width="19.81640625" style="5" customWidth="1"/>
    <col min="21" max="21" width="25.1796875" style="5" customWidth="1"/>
    <col min="22" max="16384" width="9.1796875" style="5"/>
  </cols>
  <sheetData>
    <row r="1" spans="1:17" ht="20" thickBot="1" x14ac:dyDescent="0.5">
      <c r="A1" s="94" t="s">
        <v>218</v>
      </c>
    </row>
    <row r="2" spans="1:17" ht="15" thickTop="1" x14ac:dyDescent="0.35">
      <c r="A2" s="144" t="s">
        <v>160</v>
      </c>
      <c r="B2" s="144"/>
      <c r="C2" s="144"/>
      <c r="D2" s="144"/>
      <c r="E2" s="144"/>
      <c r="F2" s="144"/>
      <c r="G2" s="144"/>
      <c r="H2" s="144"/>
      <c r="I2" s="144"/>
      <c r="J2" s="144"/>
    </row>
    <row r="3" spans="1:17" x14ac:dyDescent="0.35">
      <c r="A3" s="5" t="s">
        <v>203</v>
      </c>
    </row>
    <row r="4" spans="1:17" x14ac:dyDescent="0.35">
      <c r="A4" s="95" t="s">
        <v>235</v>
      </c>
    </row>
    <row r="5" spans="1:17" x14ac:dyDescent="0.35">
      <c r="A5" s="107" t="s">
        <v>4</v>
      </c>
      <c r="B5" s="110" t="s">
        <v>7</v>
      </c>
      <c r="C5" s="110" t="s">
        <v>8</v>
      </c>
      <c r="D5" s="110" t="s">
        <v>9</v>
      </c>
      <c r="E5" s="110" t="s">
        <v>10</v>
      </c>
      <c r="F5" s="110" t="s">
        <v>326</v>
      </c>
      <c r="G5" s="110"/>
      <c r="H5" s="110" t="s">
        <v>255</v>
      </c>
      <c r="I5" s="110" t="s">
        <v>12</v>
      </c>
      <c r="J5" s="110" t="s">
        <v>11</v>
      </c>
      <c r="K5" s="110" t="s">
        <v>18</v>
      </c>
      <c r="L5" s="110" t="str">
        <f>'Other Benefit 1'!B7</f>
        <v>Other Benefit 1</v>
      </c>
      <c r="M5" s="110" t="str">
        <f>'Other Benefit 2'!B7</f>
        <v>Other Benefit 2</v>
      </c>
      <c r="N5" s="110" t="str">
        <f>'Other Benefit 3'!B7</f>
        <v>Other Benefit 3</v>
      </c>
      <c r="O5" s="110" t="str">
        <f>'Other Benefit 4'!B11</f>
        <v>Other Benefit 4</v>
      </c>
      <c r="P5" s="110" t="s">
        <v>17</v>
      </c>
      <c r="Q5" s="104" t="s">
        <v>0</v>
      </c>
    </row>
    <row r="6" spans="1:17" x14ac:dyDescent="0.35">
      <c r="A6" s="6">
        <f>'Project Information'!$B$9</f>
        <v>2033</v>
      </c>
      <c r="B6" s="7">
        <f>'Operations and Maintenance'!D8</f>
        <v>-1061700</v>
      </c>
      <c r="C6" s="7">
        <f>Safety!D22</f>
        <v>2194933.3333333335</v>
      </c>
      <c r="D6" s="7">
        <f>'Travel Time Savings'!D20</f>
        <v>0</v>
      </c>
      <c r="E6" s="7">
        <f>'Vehicle Operating Cost Savings'!D26</f>
        <v>0</v>
      </c>
      <c r="F6" s="21">
        <f>'Emissions Reduction'!S33</f>
        <v>0</v>
      </c>
      <c r="G6" s="21"/>
      <c r="H6" s="21">
        <f>'Other Highway Use Externalities'!B20</f>
        <v>0</v>
      </c>
      <c r="I6" s="7">
        <f>'Amenity Benefits'!B11</f>
        <v>254750.30099999998</v>
      </c>
      <c r="J6" s="7">
        <f>'Health Benefits'!B15</f>
        <v>36925.042499999996</v>
      </c>
      <c r="K6" s="7">
        <f>'Residual Value'!B23</f>
        <v>0</v>
      </c>
      <c r="L6" s="7">
        <f>'Other Benefit 1'!B8</f>
        <v>0</v>
      </c>
      <c r="M6" s="7">
        <f>'Other Benefit 2'!B8</f>
        <v>0</v>
      </c>
      <c r="N6" s="7">
        <f>'Other Benefit 3'!B8</f>
        <v>0</v>
      </c>
      <c r="O6" s="7">
        <f>'Other Benefit 4'!B12</f>
        <v>0</v>
      </c>
      <c r="P6" s="149">
        <f>SUM(C6:O6)-B6</f>
        <v>3548308.6768333334</v>
      </c>
      <c r="Q6" s="8">
        <f>IFERROR(((P6)/(1.07)^(A6-Overview!$B$22)),0)</f>
        <v>1930044.8184337611</v>
      </c>
    </row>
    <row r="7" spans="1:17" x14ac:dyDescent="0.35">
      <c r="A7" s="1">
        <f>IF(A6&lt;'Project Information'!B$11,A6+1,"")</f>
        <v>2034</v>
      </c>
      <c r="B7" s="7">
        <f>'Operations and Maintenance'!D9</f>
        <v>-11700</v>
      </c>
      <c r="C7" s="7">
        <f>Safety!D23</f>
        <v>2195296.5074112378</v>
      </c>
      <c r="D7" s="7">
        <f>'Travel Time Savings'!D21</f>
        <v>0</v>
      </c>
      <c r="E7" s="7">
        <f>'Vehicle Operating Cost Savings'!D27</f>
        <v>0</v>
      </c>
      <c r="F7" s="21">
        <f>'Emissions Reduction'!S34</f>
        <v>0</v>
      </c>
      <c r="G7" s="21"/>
      <c r="H7" s="21">
        <f>'Other Highway Use Externalities'!B21</f>
        <v>0</v>
      </c>
      <c r="I7" s="7">
        <f>'Amenity Benefits'!B12</f>
        <v>254792.45156537744</v>
      </c>
      <c r="J7" s="7">
        <f>'Health Benefits'!B16</f>
        <v>36931.152124405424</v>
      </c>
      <c r="K7" s="7">
        <f>'Residual Value'!B24</f>
        <v>0</v>
      </c>
      <c r="L7" s="7">
        <f>'Other Benefit 1'!B9</f>
        <v>0</v>
      </c>
      <c r="M7" s="7">
        <f>'Other Benefit 2'!B9</f>
        <v>0</v>
      </c>
      <c r="N7" s="7">
        <f>'Other Benefit 3'!B9</f>
        <v>0</v>
      </c>
      <c r="O7" s="7">
        <f>'Other Benefit 4'!B13</f>
        <v>0</v>
      </c>
      <c r="P7" s="149">
        <f t="shared" ref="P7:P35" si="0">SUM(C7:O7)-B7</f>
        <v>2498720.1111010206</v>
      </c>
      <c r="Q7" s="8">
        <f>IFERROR(((P7)/(1.07)^(A7-Overview!$B$22)),0)</f>
        <v>1270222.5997209873</v>
      </c>
    </row>
    <row r="8" spans="1:17" x14ac:dyDescent="0.35">
      <c r="A8" s="1">
        <f>IF(A7&lt;'Project Information'!B$11,A7+1,"")</f>
        <v>2035</v>
      </c>
      <c r="B8" s="7">
        <f>'Operations and Maintenance'!D10</f>
        <v>-11700</v>
      </c>
      <c r="C8" s="7">
        <f>Safety!D24</f>
        <v>2195659.7415799927</v>
      </c>
      <c r="D8" s="7">
        <f>'Travel Time Savings'!D22</f>
        <v>0</v>
      </c>
      <c r="E8" s="7">
        <f>'Vehicle Operating Cost Savings'!D28</f>
        <v>0</v>
      </c>
      <c r="F8" s="21">
        <f>'Emissions Reduction'!S35</f>
        <v>0</v>
      </c>
      <c r="G8" s="21"/>
      <c r="H8" s="21">
        <f>'Other Highway Use Externalities'!B22</f>
        <v>0</v>
      </c>
      <c r="I8" s="7">
        <f>'Amenity Benefits'!B13</f>
        <v>254834.6091049953</v>
      </c>
      <c r="J8" s="7">
        <f>'Health Benefits'!B17</f>
        <v>36937.262759710393</v>
      </c>
      <c r="K8" s="7">
        <f>'Residual Value'!B25</f>
        <v>0</v>
      </c>
      <c r="L8" s="7">
        <f>'Other Benefit 1'!B10</f>
        <v>0</v>
      </c>
      <c r="M8" s="7">
        <f>'Other Benefit 2'!B10</f>
        <v>0</v>
      </c>
      <c r="N8" s="7">
        <f>'Other Benefit 3'!B10</f>
        <v>0</v>
      </c>
      <c r="O8" s="7">
        <f>'Other Benefit 4'!B14</f>
        <v>0</v>
      </c>
      <c r="P8" s="149">
        <f t="shared" si="0"/>
        <v>2499131.613444698</v>
      </c>
      <c r="Q8" s="8">
        <f>IFERROR(((P8)/(1.07)^(A8-Overview!$B$22)),0)</f>
        <v>1187319.4267720629</v>
      </c>
    </row>
    <row r="9" spans="1:17" x14ac:dyDescent="0.35">
      <c r="A9" s="1">
        <f>IF(A8&lt;'Project Information'!B$11,A8+1,"")</f>
        <v>2036</v>
      </c>
      <c r="B9" s="7">
        <f>'Operations and Maintenance'!D11</f>
        <v>-11700</v>
      </c>
      <c r="C9" s="7">
        <f>Safety!D25</f>
        <v>2196023.0358495405</v>
      </c>
      <c r="D9" s="7">
        <f>'Travel Time Savings'!D23</f>
        <v>0</v>
      </c>
      <c r="E9" s="7">
        <f>'Vehicle Operating Cost Savings'!D29</f>
        <v>0</v>
      </c>
      <c r="F9" s="21">
        <f>'Emissions Reduction'!S36</f>
        <v>0</v>
      </c>
      <c r="G9" s="21"/>
      <c r="H9" s="21">
        <f>'Other Highway Use Externalities'!B23</f>
        <v>0</v>
      </c>
      <c r="I9" s="7">
        <f>'Amenity Benefits'!B14</f>
        <v>254876.77362000747</v>
      </c>
      <c r="J9" s="7">
        <f>'Health Benefits'!B18</f>
        <v>36943.374406082214</v>
      </c>
      <c r="K9" s="7">
        <f>'Residual Value'!B26</f>
        <v>0</v>
      </c>
      <c r="L9" s="7">
        <f>'Other Benefit 1'!B11</f>
        <v>0</v>
      </c>
      <c r="M9" s="7">
        <f>'Other Benefit 2'!B11</f>
        <v>0</v>
      </c>
      <c r="N9" s="7">
        <f>'Other Benefit 3'!B11</f>
        <v>0</v>
      </c>
      <c r="O9" s="7">
        <f>'Other Benefit 4'!B15</f>
        <v>0</v>
      </c>
      <c r="P9" s="149">
        <f t="shared" si="0"/>
        <v>2499543.1838756301</v>
      </c>
      <c r="Q9" s="8">
        <f>IFERROR(((P9)/(1.07)^(A9-Overview!$B$22)),0)</f>
        <v>1109827.0662794439</v>
      </c>
    </row>
    <row r="10" spans="1:17" x14ac:dyDescent="0.35">
      <c r="A10" s="1">
        <f>IF(A9&lt;'Project Information'!B$11,A9+1,"")</f>
        <v>2037</v>
      </c>
      <c r="B10" s="7">
        <f>'Operations and Maintenance'!D12</f>
        <v>-11700</v>
      </c>
      <c r="C10" s="7">
        <f>Safety!D26</f>
        <v>2196386.3902298259</v>
      </c>
      <c r="D10" s="7">
        <f>'Travel Time Savings'!D24</f>
        <v>0</v>
      </c>
      <c r="E10" s="7">
        <f>'Vehicle Operating Cost Savings'!D30</f>
        <v>0</v>
      </c>
      <c r="F10" s="21">
        <f>'Emissions Reduction'!S37</f>
        <v>0</v>
      </c>
      <c r="G10" s="21"/>
      <c r="H10" s="21">
        <f>'Other Highway Use Externalities'!B24</f>
        <v>0</v>
      </c>
      <c r="I10" s="7">
        <f>'Amenity Benefits'!B15</f>
        <v>254918.94511156823</v>
      </c>
      <c r="J10" s="7">
        <f>'Health Benefits'!B19</f>
        <v>36949.487063688255</v>
      </c>
      <c r="K10" s="7">
        <f>'Residual Value'!B27</f>
        <v>0</v>
      </c>
      <c r="L10" s="7">
        <f>'Other Benefit 1'!B12</f>
        <v>0</v>
      </c>
      <c r="M10" s="7">
        <f>'Other Benefit 2'!B12</f>
        <v>0</v>
      </c>
      <c r="N10" s="7">
        <f>'Other Benefit 3'!B12</f>
        <v>0</v>
      </c>
      <c r="O10" s="7">
        <f>'Other Benefit 4'!B16</f>
        <v>0</v>
      </c>
      <c r="P10" s="149">
        <f t="shared" si="0"/>
        <v>2499954.8224050822</v>
      </c>
      <c r="Q10" s="8">
        <f>IFERROR(((P10)/(1.07)^(A10-Overview!$B$22)),0)</f>
        <v>1037392.3726256121</v>
      </c>
    </row>
    <row r="11" spans="1:17" x14ac:dyDescent="0.35">
      <c r="A11" s="1">
        <f>IF(A10&lt;'Project Information'!B$11,A10+1,"")</f>
        <v>2038</v>
      </c>
      <c r="B11" s="391">
        <f>'Operations and Maintenance'!D13</f>
        <v>-11700</v>
      </c>
      <c r="C11" s="7">
        <f>Safety!D27</f>
        <v>2196749.8047307949</v>
      </c>
      <c r="D11" s="7">
        <f>'Travel Time Savings'!D25</f>
        <v>0</v>
      </c>
      <c r="E11" s="7">
        <f>'Vehicle Operating Cost Savings'!D31</f>
        <v>0</v>
      </c>
      <c r="F11" s="21">
        <f>'Emissions Reduction'!S38</f>
        <v>0</v>
      </c>
      <c r="G11" s="21"/>
      <c r="H11" s="21">
        <f>'Other Highway Use Externalities'!B25</f>
        <v>0</v>
      </c>
      <c r="I11" s="7">
        <f>'Amenity Benefits'!B16</f>
        <v>254961.12358083177</v>
      </c>
      <c r="J11" s="7">
        <f>'Health Benefits'!B20</f>
        <v>36955.600732695602</v>
      </c>
      <c r="K11" s="7">
        <f>'Residual Value'!B28</f>
        <v>0</v>
      </c>
      <c r="L11" s="7">
        <f>'Other Benefit 1'!B13</f>
        <v>0</v>
      </c>
      <c r="M11" s="7">
        <f>'Other Benefit 2'!B13</f>
        <v>0</v>
      </c>
      <c r="N11" s="7">
        <f>'Other Benefit 3'!B13</f>
        <v>0</v>
      </c>
      <c r="O11" s="7">
        <f>'Other Benefit 4'!B17</f>
        <v>0</v>
      </c>
      <c r="P11" s="149">
        <f t="shared" si="0"/>
        <v>2500366.5290443222</v>
      </c>
      <c r="Q11" s="8">
        <f>IFERROR(((P11)/(1.07)^(A11-Overview!$B$22)),0)</f>
        <v>969685.24882603402</v>
      </c>
    </row>
    <row r="12" spans="1:17" x14ac:dyDescent="0.35">
      <c r="A12" s="1">
        <f>IF(A11&lt;'Project Information'!B$11,A11+1,"")</f>
        <v>2039</v>
      </c>
      <c r="B12" s="7">
        <f>'Operations and Maintenance'!D14</f>
        <v>-11700</v>
      </c>
      <c r="C12" s="7">
        <f>Safety!D28</f>
        <v>2197113.2793623945</v>
      </c>
      <c r="D12" s="7">
        <f>'Travel Time Savings'!D26</f>
        <v>0</v>
      </c>
      <c r="E12" s="7">
        <f>'Vehicle Operating Cost Savings'!D32</f>
        <v>0</v>
      </c>
      <c r="F12" s="21">
        <f>'Emissions Reduction'!S39</f>
        <v>0</v>
      </c>
      <c r="G12" s="21"/>
      <c r="H12" s="21">
        <f>'Other Highway Use Externalities'!B26</f>
        <v>0</v>
      </c>
      <c r="I12" s="7">
        <f>'Amenity Benefits'!B17</f>
        <v>255003.30902895267</v>
      </c>
      <c r="J12" s="7">
        <f>'Health Benefits'!B21</f>
        <v>36961.715413271864</v>
      </c>
      <c r="K12" s="7">
        <f>'Residual Value'!B29</f>
        <v>0</v>
      </c>
      <c r="L12" s="7">
        <f>'Other Benefit 1'!B14</f>
        <v>0</v>
      </c>
      <c r="M12" s="7">
        <f>'Other Benefit 2'!B14</f>
        <v>0</v>
      </c>
      <c r="N12" s="7">
        <f>'Other Benefit 3'!B14</f>
        <v>0</v>
      </c>
      <c r="O12" s="7">
        <f>'Other Benefit 4'!B18</f>
        <v>0</v>
      </c>
      <c r="P12" s="149">
        <f t="shared" si="0"/>
        <v>2500778.3038046192</v>
      </c>
      <c r="Q12" s="8">
        <f>IFERROR(((P12)/(1.07)^(A12-Overview!$B$22)),0)</f>
        <v>906397.14222195593</v>
      </c>
    </row>
    <row r="13" spans="1:17" x14ac:dyDescent="0.35">
      <c r="A13" s="1">
        <f>IF(A12&lt;'Project Information'!B$11,A12+1,"")</f>
        <v>2040</v>
      </c>
      <c r="B13" s="7">
        <f>'Operations and Maintenance'!D15</f>
        <v>-274200</v>
      </c>
      <c r="C13" s="7">
        <f>Safety!D29</f>
        <v>2197476.814134574</v>
      </c>
      <c r="D13" s="7">
        <f>'Travel Time Savings'!D27</f>
        <v>0</v>
      </c>
      <c r="E13" s="7">
        <f>'Vehicle Operating Cost Savings'!D33</f>
        <v>0</v>
      </c>
      <c r="F13" s="21">
        <f>'Emissions Reduction'!S40</f>
        <v>0</v>
      </c>
      <c r="G13" s="21"/>
      <c r="H13" s="21">
        <f>'Other Highway Use Externalities'!B27</f>
        <v>0</v>
      </c>
      <c r="I13" s="7">
        <f>'Amenity Benefits'!B18</f>
        <v>255045.50145708566</v>
      </c>
      <c r="J13" s="7">
        <f>'Health Benefits'!B22</f>
        <v>36967.831105584119</v>
      </c>
      <c r="K13" s="7">
        <f>'Residual Value'!B30</f>
        <v>0</v>
      </c>
      <c r="L13" s="7">
        <f>'Other Benefit 1'!B15</f>
        <v>0</v>
      </c>
      <c r="M13" s="7">
        <f>'Other Benefit 2'!B15</f>
        <v>0</v>
      </c>
      <c r="N13" s="7">
        <f>'Other Benefit 3'!B15</f>
        <v>0</v>
      </c>
      <c r="O13" s="7">
        <f>'Other Benefit 4'!B19</f>
        <v>0</v>
      </c>
      <c r="P13" s="149">
        <f>SUM(C13:O13)-B13</f>
        <v>2763690.1466972441</v>
      </c>
      <c r="Q13" s="8">
        <f>IFERROR(((P13)/(1.07)^(A13-Overview!$B$22)),0)</f>
        <v>936157.4702759115</v>
      </c>
    </row>
    <row r="14" spans="1:17" x14ac:dyDescent="0.35">
      <c r="A14" s="1">
        <f>IF(A13&lt;'Project Information'!B$11,A13+1,"")</f>
        <v>2041</v>
      </c>
      <c r="B14" s="7">
        <f>'Operations and Maintenance'!D16</f>
        <v>-11700</v>
      </c>
      <c r="C14" s="7">
        <f>Safety!D30</f>
        <v>2197840.4090572847</v>
      </c>
      <c r="D14" s="7">
        <f>'Travel Time Savings'!D28</f>
        <v>0</v>
      </c>
      <c r="E14" s="7">
        <f>'Vehicle Operating Cost Savings'!D34</f>
        <v>0</v>
      </c>
      <c r="F14" s="21">
        <f>'Emissions Reduction'!S41</f>
        <v>0</v>
      </c>
      <c r="G14" s="21"/>
      <c r="H14" s="21">
        <f>'Other Highway Use Externalities'!B28</f>
        <v>0</v>
      </c>
      <c r="I14" s="7">
        <f>'Amenity Benefits'!B19</f>
        <v>255087.70086638571</v>
      </c>
      <c r="J14" s="7">
        <f>'Health Benefits'!B23</f>
        <v>36973.947809800215</v>
      </c>
      <c r="K14" s="7">
        <f>'Residual Value'!B31</f>
        <v>0</v>
      </c>
      <c r="L14" s="7">
        <f>'Other Benefit 1'!B16</f>
        <v>0</v>
      </c>
      <c r="M14" s="7">
        <f>'Other Benefit 2'!B16</f>
        <v>0</v>
      </c>
      <c r="N14" s="7">
        <f>'Other Benefit 3'!B16</f>
        <v>0</v>
      </c>
      <c r="O14" s="7">
        <f>'Other Benefit 4'!B20</f>
        <v>0</v>
      </c>
      <c r="P14" s="149">
        <f t="shared" si="0"/>
        <v>2501602.0577334706</v>
      </c>
      <c r="Q14" s="8">
        <f>IFERROR(((P14)/(1.07)^(A14-Overview!$B$22)),0)</f>
        <v>791943.1466107372</v>
      </c>
    </row>
    <row r="15" spans="1:17" x14ac:dyDescent="0.35">
      <c r="A15" s="1">
        <f>IF(A14&lt;'Project Information'!B$11,A14+1,"")</f>
        <v>2042</v>
      </c>
      <c r="B15" s="7">
        <f>'Operations and Maintenance'!D17</f>
        <v>-11700</v>
      </c>
      <c r="C15" s="7">
        <f>Safety!D31</f>
        <v>2198204.0641404795</v>
      </c>
      <c r="D15" s="7">
        <f>'Travel Time Savings'!D29</f>
        <v>0</v>
      </c>
      <c r="E15" s="7">
        <f>'Vehicle Operating Cost Savings'!D35</f>
        <v>0</v>
      </c>
      <c r="F15" s="21">
        <f>'Emissions Reduction'!S42</f>
        <v>0</v>
      </c>
      <c r="G15" s="21"/>
      <c r="H15" s="21">
        <f>'Other Highway Use Externalities'!B29</f>
        <v>0</v>
      </c>
      <c r="I15" s="7">
        <f>'Amenity Benefits'!B20</f>
        <v>255129.90725800785</v>
      </c>
      <c r="J15" s="7">
        <f>'Health Benefits'!B24</f>
        <v>36980.065526087252</v>
      </c>
      <c r="K15" s="7">
        <f>'Residual Value'!B32</f>
        <v>0</v>
      </c>
      <c r="L15" s="7">
        <f>'Other Benefit 1'!B17</f>
        <v>0</v>
      </c>
      <c r="M15" s="7">
        <f>'Other Benefit 2'!B17</f>
        <v>0</v>
      </c>
      <c r="N15" s="7">
        <f>'Other Benefit 3'!B17</f>
        <v>0</v>
      </c>
      <c r="O15" s="7">
        <f>'Other Benefit 4'!B21</f>
        <v>0</v>
      </c>
      <c r="P15" s="149">
        <f t="shared" si="0"/>
        <v>2502014.0369245745</v>
      </c>
      <c r="Q15" s="8">
        <f>IFERROR(((P15)/(1.07)^(A15-Overview!$B$22)),0)</f>
        <v>740255.67165611661</v>
      </c>
    </row>
    <row r="16" spans="1:17" x14ac:dyDescent="0.35">
      <c r="A16" s="1">
        <f>IF(A15&lt;'Project Information'!B$11,A15+1,"")</f>
        <v>2043</v>
      </c>
      <c r="B16" s="7">
        <f>'Operations and Maintenance'!D18</f>
        <v>-11700</v>
      </c>
      <c r="C16" s="7">
        <f>Safety!D32</f>
        <v>2198567.7793941121</v>
      </c>
      <c r="D16" s="7">
        <f>'Travel Time Savings'!D30</f>
        <v>0</v>
      </c>
      <c r="E16" s="7">
        <f>'Vehicle Operating Cost Savings'!D36</f>
        <v>0</v>
      </c>
      <c r="F16" s="21">
        <f>'Emissions Reduction'!S43</f>
        <v>0</v>
      </c>
      <c r="G16" s="21"/>
      <c r="H16" s="21">
        <f>'Other Highway Use Externalities'!B30</f>
        <v>0</v>
      </c>
      <c r="I16" s="7">
        <f>'Amenity Benefits'!B21</f>
        <v>255172.12063310746</v>
      </c>
      <c r="J16" s="7">
        <f>'Health Benefits'!B25</f>
        <v>36986.184254612832</v>
      </c>
      <c r="K16" s="7">
        <f>'Residual Value'!B33</f>
        <v>0</v>
      </c>
      <c r="L16" s="7">
        <f>'Other Benefit 1'!B18</f>
        <v>0</v>
      </c>
      <c r="M16" s="7">
        <f>'Other Benefit 2'!B18</f>
        <v>0</v>
      </c>
      <c r="N16" s="7">
        <f>'Other Benefit 3'!B18</f>
        <v>0</v>
      </c>
      <c r="O16" s="7">
        <f>'Other Benefit 4'!B22</f>
        <v>0</v>
      </c>
      <c r="P16" s="149">
        <f t="shared" si="0"/>
        <v>2502426.0842818324</v>
      </c>
      <c r="Q16" s="8">
        <f>IFERROR(((P16)/(1.07)^(A16-Overview!$B$22)),0)</f>
        <v>691941.66504761204</v>
      </c>
    </row>
    <row r="17" spans="1:17" x14ac:dyDescent="0.35">
      <c r="A17" s="1">
        <f>IF(A16&lt;'Project Information'!B$11,A16+1,"")</f>
        <v>2044</v>
      </c>
      <c r="B17" s="7">
        <f>'Operations and Maintenance'!D19</f>
        <v>-861700</v>
      </c>
      <c r="C17" s="7">
        <f>Safety!D33</f>
        <v>2198931.5548281381</v>
      </c>
      <c r="D17" s="7">
        <f>'Travel Time Savings'!D31</f>
        <v>0</v>
      </c>
      <c r="E17" s="7">
        <f>'Vehicle Operating Cost Savings'!D37</f>
        <v>0</v>
      </c>
      <c r="F17" s="21">
        <f>'Emissions Reduction'!S44</f>
        <v>0</v>
      </c>
      <c r="G17" s="21"/>
      <c r="H17" s="21">
        <f>'Other Highway Use Externalities'!B31</f>
        <v>0</v>
      </c>
      <c r="I17" s="7">
        <f>'Amenity Benefits'!B22</f>
        <v>255214.34099283992</v>
      </c>
      <c r="J17" s="7">
        <f>'Health Benefits'!B26</f>
        <v>36992.303995544295</v>
      </c>
      <c r="K17" s="7">
        <f>'Residual Value'!B34</f>
        <v>0</v>
      </c>
      <c r="L17" s="7">
        <f>'Other Benefit 1'!B19</f>
        <v>0</v>
      </c>
      <c r="M17" s="7">
        <f>'Other Benefit 2'!B19</f>
        <v>0</v>
      </c>
      <c r="N17" s="7">
        <f>'Other Benefit 3'!B19</f>
        <v>0</v>
      </c>
      <c r="O17" s="7">
        <f>'Other Benefit 4'!B23</f>
        <v>0</v>
      </c>
      <c r="P17" s="149">
        <f t="shared" si="0"/>
        <v>3352838.1998165222</v>
      </c>
      <c r="Q17" s="8">
        <f>IFERROR(((P17)/(1.07)^(A17-Overview!$B$22)),0)</f>
        <v>866437.10419283237</v>
      </c>
    </row>
    <row r="18" spans="1:17" x14ac:dyDescent="0.35">
      <c r="A18" s="1">
        <f>IF(A17&lt;'Project Information'!B$11,A17+1,"")</f>
        <v>2045</v>
      </c>
      <c r="B18" s="7">
        <f>'Operations and Maintenance'!D20</f>
        <v>100800</v>
      </c>
      <c r="C18" s="7">
        <f>Safety!D34</f>
        <v>2199295.3904525144</v>
      </c>
      <c r="D18" s="7">
        <f>'Travel Time Savings'!D32</f>
        <v>0</v>
      </c>
      <c r="E18" s="7">
        <f>'Vehicle Operating Cost Savings'!D38</f>
        <v>0</v>
      </c>
      <c r="F18" s="21">
        <f>'Emissions Reduction'!S45</f>
        <v>0</v>
      </c>
      <c r="G18" s="21"/>
      <c r="H18" s="21">
        <f>'Other Highway Use Externalities'!B32</f>
        <v>0</v>
      </c>
      <c r="I18" s="7">
        <f>'Amenity Benefits'!B23</f>
        <v>255256.56833836099</v>
      </c>
      <c r="J18" s="7">
        <f>'Health Benefits'!B27</f>
        <v>36998.424749049242</v>
      </c>
      <c r="K18" s="7">
        <f>'Residual Value'!B35</f>
        <v>0</v>
      </c>
      <c r="L18" s="7">
        <f>'Other Benefit 1'!B20</f>
        <v>0</v>
      </c>
      <c r="M18" s="7">
        <f>'Other Benefit 2'!B20</f>
        <v>0</v>
      </c>
      <c r="N18" s="7">
        <f>'Other Benefit 3'!B20</f>
        <v>0</v>
      </c>
      <c r="O18" s="7">
        <f>'Other Benefit 4'!B24</f>
        <v>0</v>
      </c>
      <c r="P18" s="149">
        <f t="shared" si="0"/>
        <v>2390750.3835399249</v>
      </c>
      <c r="Q18" s="8">
        <f>IFERROR(((P18)/(1.07)^(A18-Overview!$B$22)),0)</f>
        <v>577397.50475818827</v>
      </c>
    </row>
    <row r="19" spans="1:17" x14ac:dyDescent="0.35">
      <c r="A19" s="1">
        <f>IF(A18&lt;'Project Information'!B$11,A18+1,"")</f>
        <v>2046</v>
      </c>
      <c r="B19" s="7">
        <f>'Operations and Maintenance'!D21</f>
        <v>-11700</v>
      </c>
      <c r="C19" s="7">
        <f>Safety!D35</f>
        <v>2199659.2862772015</v>
      </c>
      <c r="D19" s="7">
        <f>'Travel Time Savings'!D33</f>
        <v>0</v>
      </c>
      <c r="E19" s="7">
        <f>'Vehicle Operating Cost Savings'!D39</f>
        <v>0</v>
      </c>
      <c r="F19" s="21">
        <f>'Emissions Reduction'!S46</f>
        <v>0</v>
      </c>
      <c r="G19" s="21"/>
      <c r="H19" s="21">
        <f>'Other Highway Use Externalities'!B33</f>
        <v>0</v>
      </c>
      <c r="I19" s="7">
        <f>'Amenity Benefits'!B24</f>
        <v>255298.8026708265</v>
      </c>
      <c r="J19" s="7">
        <f>'Health Benefits'!B28</f>
        <v>37004.54651529526</v>
      </c>
      <c r="K19" s="7">
        <f>'Residual Value'!B36</f>
        <v>0</v>
      </c>
      <c r="L19" s="7">
        <f>'Other Benefit 1'!B21</f>
        <v>0</v>
      </c>
      <c r="M19" s="7">
        <f>'Other Benefit 2'!B21</f>
        <v>0</v>
      </c>
      <c r="N19" s="7">
        <f>'Other Benefit 3'!B21</f>
        <v>0</v>
      </c>
      <c r="O19" s="7">
        <f>'Other Benefit 4'!B25</f>
        <v>0</v>
      </c>
      <c r="P19" s="149">
        <f t="shared" si="0"/>
        <v>2503662.6354633234</v>
      </c>
      <c r="Q19" s="8">
        <f>IFERROR(((P19)/(1.07)^(A19-Overview!$B$22)),0)</f>
        <v>565109.61799176736</v>
      </c>
    </row>
    <row r="20" spans="1:17" x14ac:dyDescent="0.35">
      <c r="A20" s="1">
        <f>IF(A19&lt;'Project Information'!B$11,A19+1,"")</f>
        <v>2047</v>
      </c>
      <c r="B20" s="7">
        <f>'Operations and Maintenance'!D22</f>
        <v>838300</v>
      </c>
      <c r="C20" s="7">
        <f>Safety!D36</f>
        <v>2200023.2423121594</v>
      </c>
      <c r="D20" s="7">
        <f>'Travel Time Savings'!D34</f>
        <v>0</v>
      </c>
      <c r="E20" s="7">
        <f>'Vehicle Operating Cost Savings'!D40</f>
        <v>0</v>
      </c>
      <c r="F20" s="21">
        <f>'Emissions Reduction'!S47</f>
        <v>0</v>
      </c>
      <c r="G20" s="21"/>
      <c r="H20" s="21">
        <f>'Other Highway Use Externalities'!B34</f>
        <v>0</v>
      </c>
      <c r="I20" s="7">
        <f>'Amenity Benefits'!B25</f>
        <v>255341.04399139257</v>
      </c>
      <c r="J20" s="7">
        <f>'Health Benefits'!B29</f>
        <v>37010.669294449952</v>
      </c>
      <c r="K20" s="7">
        <f>'Residual Value'!B37</f>
        <v>0</v>
      </c>
      <c r="L20" s="7">
        <f>'Other Benefit 1'!B22</f>
        <v>0</v>
      </c>
      <c r="M20" s="7">
        <f>'Other Benefit 2'!B22</f>
        <v>0</v>
      </c>
      <c r="N20" s="7">
        <f>'Other Benefit 3'!B22</f>
        <v>0</v>
      </c>
      <c r="O20" s="7">
        <f>'Other Benefit 4'!B26</f>
        <v>0</v>
      </c>
      <c r="P20" s="149">
        <f t="shared" si="0"/>
        <v>1654074.9555980018</v>
      </c>
      <c r="Q20" s="8">
        <f>IFERROR(((P20)/(1.07)^(A20-Overview!$B$22)),0)</f>
        <v>348921.95670276863</v>
      </c>
    </row>
    <row r="21" spans="1:17" x14ac:dyDescent="0.35">
      <c r="A21" s="1">
        <f>IF(A20&lt;'Project Information'!B$11,A20+1,"")</f>
        <v>2048</v>
      </c>
      <c r="B21" s="7">
        <f>'Operations and Maintenance'!D23</f>
        <v>-11700</v>
      </c>
      <c r="C21" s="7">
        <f>Safety!D37</f>
        <v>2200387.2585673509</v>
      </c>
      <c r="D21" s="7">
        <f>'Travel Time Savings'!D35</f>
        <v>0</v>
      </c>
      <c r="E21" s="7">
        <f>'Vehicle Operating Cost Savings'!D41</f>
        <v>0</v>
      </c>
      <c r="F21" s="21">
        <f>'Emissions Reduction'!S48</f>
        <v>0</v>
      </c>
      <c r="G21" s="21"/>
      <c r="H21" s="21">
        <f>'Other Highway Use Externalities'!B35</f>
        <v>0</v>
      </c>
      <c r="I21" s="7">
        <f>'Amenity Benefits'!B26</f>
        <v>255383.29230121532</v>
      </c>
      <c r="J21" s="7">
        <f>'Health Benefits'!B30</f>
        <v>37016.793086680678</v>
      </c>
      <c r="K21" s="7">
        <f>'Residual Value'!B38</f>
        <v>0</v>
      </c>
      <c r="L21" s="7">
        <f>'Other Benefit 1'!B23</f>
        <v>0</v>
      </c>
      <c r="M21" s="7">
        <f>'Other Benefit 2'!B23</f>
        <v>0</v>
      </c>
      <c r="N21" s="7">
        <f>'Other Benefit 3'!B23</f>
        <v>0</v>
      </c>
      <c r="O21" s="7">
        <f>'Other Benefit 4'!B27</f>
        <v>0</v>
      </c>
      <c r="P21" s="149">
        <f t="shared" si="0"/>
        <v>2504487.3439552467</v>
      </c>
      <c r="Q21" s="8">
        <f>IFERROR(((P21)/(1.07)^(A21-Overview!$B$22)),0)</f>
        <v>493751.21456531546</v>
      </c>
    </row>
    <row r="22" spans="1:17" x14ac:dyDescent="0.35">
      <c r="A22" s="1">
        <f>IF(A21&lt;'Project Information'!B$11,A21+1,"")</f>
        <v>2049</v>
      </c>
      <c r="B22" s="7">
        <f>'Operations and Maintenance'!D24</f>
        <v>-11700</v>
      </c>
      <c r="C22" s="7">
        <f>Safety!D38</f>
        <v>2200751.3350527389</v>
      </c>
      <c r="D22" s="7">
        <f>'Travel Time Savings'!D36</f>
        <v>0</v>
      </c>
      <c r="E22" s="7">
        <f>'Vehicle Operating Cost Savings'!D42</f>
        <v>0</v>
      </c>
      <c r="F22" s="21">
        <f>'Emissions Reduction'!S49</f>
        <v>0</v>
      </c>
      <c r="G22" s="21"/>
      <c r="H22" s="21">
        <f>'Other Highway Use Externalities'!B36</f>
        <v>0</v>
      </c>
      <c r="I22" s="7">
        <f>'Amenity Benefits'!B27</f>
        <v>255425.54760145131</v>
      </c>
      <c r="J22" s="7">
        <f>'Health Benefits'!B31</f>
        <v>37022.917892155267</v>
      </c>
      <c r="K22" s="7">
        <f>'Residual Value'!B39</f>
        <v>0</v>
      </c>
      <c r="L22" s="7">
        <f>'Other Benefit 1'!B24</f>
        <v>0</v>
      </c>
      <c r="M22" s="7">
        <f>'Other Benefit 2'!B24</f>
        <v>0</v>
      </c>
      <c r="N22" s="7">
        <f>'Other Benefit 3'!B24</f>
        <v>0</v>
      </c>
      <c r="O22" s="7">
        <f>'Other Benefit 4'!B28</f>
        <v>0</v>
      </c>
      <c r="P22" s="149">
        <f t="shared" si="0"/>
        <v>2504899.8005463453</v>
      </c>
      <c r="Q22" s="8">
        <f>IFERROR(((P22)/(1.07)^(A22-Overview!$B$22)),0)</f>
        <v>461525.72802628606</v>
      </c>
    </row>
    <row r="23" spans="1:17" x14ac:dyDescent="0.35">
      <c r="A23" s="1">
        <f>IF(A22&lt;'Project Information'!B$11,A22+1,"")</f>
        <v>2050</v>
      </c>
      <c r="B23" s="7">
        <f>'Operations and Maintenance'!D25</f>
        <v>-11700</v>
      </c>
      <c r="C23" s="7">
        <f>Safety!D39</f>
        <v>2201115.4717782908</v>
      </c>
      <c r="D23" s="7">
        <f>'Travel Time Savings'!D37</f>
        <v>0</v>
      </c>
      <c r="E23" s="7">
        <f>'Vehicle Operating Cost Savings'!D43</f>
        <v>0</v>
      </c>
      <c r="F23" s="21">
        <f>'Emissions Reduction'!S50</f>
        <v>0</v>
      </c>
      <c r="G23" s="21"/>
      <c r="H23" s="21">
        <f>'Other Highway Use Externalities'!B37</f>
        <v>0</v>
      </c>
      <c r="I23" s="7">
        <f>'Amenity Benefits'!B28</f>
        <v>255467.80989325713</v>
      </c>
      <c r="J23" s="7">
        <f>'Health Benefits'!B32</f>
        <v>37029.043711041319</v>
      </c>
      <c r="K23" s="7">
        <f>'Residual Value'!B40</f>
        <v>0</v>
      </c>
      <c r="L23" s="7">
        <f>'Other Benefit 1'!B25</f>
        <v>0</v>
      </c>
      <c r="M23" s="7">
        <f>'Other Benefit 2'!B25</f>
        <v>0</v>
      </c>
      <c r="N23" s="7">
        <f>'Other Benefit 3'!B25</f>
        <v>0</v>
      </c>
      <c r="O23" s="7">
        <f>'Other Benefit 4'!B29</f>
        <v>0</v>
      </c>
      <c r="P23" s="149">
        <f t="shared" si="0"/>
        <v>2505312.3253825889</v>
      </c>
      <c r="Q23" s="8">
        <f>IFERROR(((P23)/(1.07)^(A23-Overview!$B$22)),0)</f>
        <v>431403.49101688928</v>
      </c>
    </row>
    <row r="24" spans="1:17" x14ac:dyDescent="0.35">
      <c r="A24" s="1">
        <f>IF(A23&lt;'Project Information'!B$11,A23+1,"")</f>
        <v>2051</v>
      </c>
      <c r="B24" s="7">
        <f>'Operations and Maintenance'!D26</f>
        <v>-11700</v>
      </c>
      <c r="C24" s="7">
        <f>Safety!D40</f>
        <v>2201479.6687539732</v>
      </c>
      <c r="D24" s="7">
        <f>'Travel Time Savings'!D38</f>
        <v>0</v>
      </c>
      <c r="E24" s="7">
        <f>'Vehicle Operating Cost Savings'!D44</f>
        <v>0</v>
      </c>
      <c r="F24" s="21">
        <f>'Emissions Reduction'!S51</f>
        <v>0</v>
      </c>
      <c r="G24" s="21"/>
      <c r="H24" s="21">
        <f>'Other Highway Use Externalities'!B38</f>
        <v>0</v>
      </c>
      <c r="I24" s="7">
        <f>'Amenity Benefits'!B29</f>
        <v>255510.07917778962</v>
      </c>
      <c r="J24" s="7">
        <f>'Health Benefits'!B33</f>
        <v>37035.170543506436</v>
      </c>
      <c r="K24" s="7">
        <f>'Residual Value'!B41</f>
        <v>0</v>
      </c>
      <c r="L24" s="7">
        <f>'Other Benefit 1'!B26</f>
        <v>0</v>
      </c>
      <c r="M24" s="7">
        <f>'Other Benefit 2'!B26</f>
        <v>0</v>
      </c>
      <c r="N24" s="7">
        <f>'Other Benefit 3'!B26</f>
        <v>0</v>
      </c>
      <c r="O24" s="7">
        <f>'Other Benefit 4'!B30</f>
        <v>0</v>
      </c>
      <c r="P24" s="149">
        <f t="shared" si="0"/>
        <v>2505724.9184752689</v>
      </c>
      <c r="Q24" s="8">
        <f>IFERROR(((P24)/(1.07)^(A24-Overview!$B$22)),0)</f>
        <v>403247.23148401524</v>
      </c>
    </row>
    <row r="25" spans="1:17" x14ac:dyDescent="0.35">
      <c r="A25" s="1">
        <f>IF(A24&lt;'Project Information'!B$11,A24+1,"")</f>
        <v>2052</v>
      </c>
      <c r="B25" s="7">
        <f>'Operations and Maintenance'!D27</f>
        <v>-11700</v>
      </c>
      <c r="C25" s="7">
        <f>Safety!D41</f>
        <v>2201843.9259897545</v>
      </c>
      <c r="D25" s="7">
        <f>'Travel Time Savings'!D39</f>
        <v>0</v>
      </c>
      <c r="E25" s="7">
        <f>'Vehicle Operating Cost Savings'!D45</f>
        <v>0</v>
      </c>
      <c r="F25" s="21">
        <f>'Emissions Reduction'!S52</f>
        <v>0</v>
      </c>
      <c r="G25" s="21"/>
      <c r="H25" s="21">
        <f>'Other Highway Use Externalities'!B39</f>
        <v>0</v>
      </c>
      <c r="I25" s="7">
        <f>'Amenity Benefits'!B30</f>
        <v>255552.35545620581</v>
      </c>
      <c r="J25" s="7">
        <f>'Health Benefits'!B34</f>
        <v>37041.298389718468</v>
      </c>
      <c r="K25" s="7">
        <f>'Residual Value'!B42</f>
        <v>0</v>
      </c>
      <c r="L25" s="7">
        <f>'Other Benefit 1'!B27</f>
        <v>0</v>
      </c>
      <c r="M25" s="7">
        <f>'Other Benefit 2'!B27</f>
        <v>0</v>
      </c>
      <c r="N25" s="7">
        <f>'Other Benefit 3'!B27</f>
        <v>0</v>
      </c>
      <c r="O25" s="7">
        <f>'Other Benefit 4'!B31</f>
        <v>0</v>
      </c>
      <c r="P25" s="149">
        <f t="shared" si="0"/>
        <v>2506137.5798356789</v>
      </c>
      <c r="Q25" s="8">
        <f>IFERROR(((P25)/(1.07)^(A25-Overview!$B$22)),0)</f>
        <v>376928.63666197832</v>
      </c>
    </row>
    <row r="26" spans="1:17" x14ac:dyDescent="0.35">
      <c r="A26" s="1" t="str">
        <f>IF(A25&lt;'Project Information'!B$11,A25+1,"")</f>
        <v/>
      </c>
      <c r="B26" s="7">
        <f>'Operations and Maintenance'!D28</f>
        <v>0</v>
      </c>
      <c r="C26" s="7">
        <f>Safety!D42</f>
        <v>0</v>
      </c>
      <c r="D26" s="7">
        <f>'Travel Time Savings'!D40</f>
        <v>0</v>
      </c>
      <c r="E26" s="7">
        <f>'Vehicle Operating Cost Savings'!D46</f>
        <v>0</v>
      </c>
      <c r="F26" s="21">
        <f>'Emissions Reduction'!S53</f>
        <v>0</v>
      </c>
      <c r="G26" s="21"/>
      <c r="H26" s="21">
        <f>'Other Highway Use Externalities'!B40</f>
        <v>0</v>
      </c>
      <c r="I26" s="7">
        <f>'Amenity Benefits'!B31</f>
        <v>0</v>
      </c>
      <c r="J26" s="7">
        <f>'Health Benefits'!B35</f>
        <v>0</v>
      </c>
      <c r="K26" s="7">
        <f>'Residual Value'!B43</f>
        <v>0</v>
      </c>
      <c r="L26" s="7">
        <f>'Other Benefit 1'!B28</f>
        <v>0</v>
      </c>
      <c r="M26" s="7">
        <f>'Other Benefit 2'!B28</f>
        <v>0</v>
      </c>
      <c r="N26" s="7">
        <f>'Other Benefit 3'!B28</f>
        <v>0</v>
      </c>
      <c r="O26" s="7">
        <f>'Other Benefit 4'!B32</f>
        <v>0</v>
      </c>
      <c r="P26" s="149">
        <f t="shared" si="0"/>
        <v>0</v>
      </c>
      <c r="Q26" s="8">
        <f>IFERROR(((P26)/(1.07)^(A26-Overview!$B$22)),0)</f>
        <v>0</v>
      </c>
    </row>
    <row r="27" spans="1:17" x14ac:dyDescent="0.35">
      <c r="A27" s="1" t="str">
        <f>IF(A26&lt;'Project Information'!B$11,A26+1,"")</f>
        <v/>
      </c>
      <c r="B27" s="7">
        <f>'Operations and Maintenance'!D29</f>
        <v>0</v>
      </c>
      <c r="C27" s="7">
        <f>Safety!D43</f>
        <v>0</v>
      </c>
      <c r="D27" s="7">
        <f>'Travel Time Savings'!D41</f>
        <v>0</v>
      </c>
      <c r="E27" s="7">
        <f>'Vehicle Operating Cost Savings'!D47</f>
        <v>0</v>
      </c>
      <c r="F27" s="21">
        <f>'Emissions Reduction'!S54</f>
        <v>0</v>
      </c>
      <c r="G27" s="21"/>
      <c r="H27" s="21">
        <f>'Other Highway Use Externalities'!B41</f>
        <v>0</v>
      </c>
      <c r="I27" s="7">
        <f>'Amenity Benefits'!B32</f>
        <v>0</v>
      </c>
      <c r="J27" s="7">
        <f>'Health Benefits'!B36</f>
        <v>0</v>
      </c>
      <c r="K27" s="7">
        <f>'Residual Value'!B44</f>
        <v>0</v>
      </c>
      <c r="L27" s="7">
        <f>'Other Benefit 1'!B29</f>
        <v>0</v>
      </c>
      <c r="M27" s="7">
        <f>'Other Benefit 2'!B29</f>
        <v>0</v>
      </c>
      <c r="N27" s="7">
        <f>'Other Benefit 3'!B29</f>
        <v>0</v>
      </c>
      <c r="O27" s="7">
        <f>'Other Benefit 4'!B33</f>
        <v>0</v>
      </c>
      <c r="P27" s="149">
        <f t="shared" si="0"/>
        <v>0</v>
      </c>
      <c r="Q27" s="8">
        <f>IFERROR(((P27)/(1.07)^(A27-Overview!$B$22)),0)</f>
        <v>0</v>
      </c>
    </row>
    <row r="28" spans="1:17" x14ac:dyDescent="0.35">
      <c r="A28" s="1" t="str">
        <f>IF(A27&lt;'Project Information'!B$11,A27+1,"")</f>
        <v/>
      </c>
      <c r="B28" s="7">
        <f>'Operations and Maintenance'!D30</f>
        <v>0</v>
      </c>
      <c r="C28" s="7">
        <f>Safety!D44</f>
        <v>0</v>
      </c>
      <c r="D28" s="7">
        <f>'Travel Time Savings'!D42</f>
        <v>0</v>
      </c>
      <c r="E28" s="7">
        <f>'Vehicle Operating Cost Savings'!D48</f>
        <v>0</v>
      </c>
      <c r="F28" s="21">
        <f>'Emissions Reduction'!S55</f>
        <v>0</v>
      </c>
      <c r="G28" s="21"/>
      <c r="H28" s="21">
        <f>'Other Highway Use Externalities'!B42</f>
        <v>0</v>
      </c>
      <c r="I28" s="7">
        <f>'Amenity Benefits'!B33</f>
        <v>0</v>
      </c>
      <c r="J28" s="7">
        <f>'Health Benefits'!B37</f>
        <v>0</v>
      </c>
      <c r="K28" s="7">
        <f>'Residual Value'!B45</f>
        <v>0</v>
      </c>
      <c r="L28" s="7">
        <f>'Other Benefit 1'!B30</f>
        <v>0</v>
      </c>
      <c r="M28" s="7">
        <f>'Other Benefit 2'!B30</f>
        <v>0</v>
      </c>
      <c r="N28" s="7">
        <f>'Other Benefit 3'!B30</f>
        <v>0</v>
      </c>
      <c r="O28" s="7">
        <f>'Other Benefit 4'!B34</f>
        <v>0</v>
      </c>
      <c r="P28" s="149">
        <f t="shared" si="0"/>
        <v>0</v>
      </c>
      <c r="Q28" s="8">
        <f>IFERROR(((P28)/(1.07)^(A28-Overview!$B$22)),0)</f>
        <v>0</v>
      </c>
    </row>
    <row r="29" spans="1:17" x14ac:dyDescent="0.35">
      <c r="A29" s="1" t="str">
        <f>IF(A28&lt;'Project Information'!B$11,A28+1,"")</f>
        <v/>
      </c>
      <c r="B29" s="7">
        <f>'Operations and Maintenance'!D31</f>
        <v>0</v>
      </c>
      <c r="C29" s="7">
        <f>Safety!D45</f>
        <v>0</v>
      </c>
      <c r="D29" s="7">
        <f>'Travel Time Savings'!D43</f>
        <v>0</v>
      </c>
      <c r="E29" s="7">
        <f>'Vehicle Operating Cost Savings'!D49</f>
        <v>0</v>
      </c>
      <c r="F29" s="21">
        <f>'Emissions Reduction'!S56</f>
        <v>0</v>
      </c>
      <c r="G29" s="21"/>
      <c r="H29" s="21">
        <f>'Other Highway Use Externalities'!B43</f>
        <v>0</v>
      </c>
      <c r="I29" s="7">
        <f>'Amenity Benefits'!B34</f>
        <v>0</v>
      </c>
      <c r="J29" s="7">
        <f>'Health Benefits'!B38</f>
        <v>0</v>
      </c>
      <c r="K29" s="7">
        <f>'Residual Value'!B46</f>
        <v>0</v>
      </c>
      <c r="L29" s="7">
        <f>'Other Benefit 1'!B31</f>
        <v>0</v>
      </c>
      <c r="M29" s="7">
        <f>'Other Benefit 2'!B31</f>
        <v>0</v>
      </c>
      <c r="N29" s="7">
        <f>'Other Benefit 3'!B31</f>
        <v>0</v>
      </c>
      <c r="O29" s="7">
        <f>'Other Benefit 4'!B35</f>
        <v>0</v>
      </c>
      <c r="P29" s="149">
        <f t="shared" si="0"/>
        <v>0</v>
      </c>
      <c r="Q29" s="8">
        <f>IFERROR(((P29)/(1.07)^(A29-Overview!$B$22)),0)</f>
        <v>0</v>
      </c>
    </row>
    <row r="30" spans="1:17" x14ac:dyDescent="0.35">
      <c r="A30" s="1" t="str">
        <f>IF(A29&lt;'Project Information'!B$11,A29+1,"")</f>
        <v/>
      </c>
      <c r="B30" s="7">
        <f>'Operations and Maintenance'!D32</f>
        <v>0</v>
      </c>
      <c r="C30" s="7">
        <f>Safety!D46</f>
        <v>0</v>
      </c>
      <c r="D30" s="7">
        <f>'Travel Time Savings'!D44</f>
        <v>0</v>
      </c>
      <c r="E30" s="7">
        <f>'Vehicle Operating Cost Savings'!D50</f>
        <v>0</v>
      </c>
      <c r="F30" s="21">
        <f>'Emissions Reduction'!S57</f>
        <v>0</v>
      </c>
      <c r="G30" s="21"/>
      <c r="H30" s="21">
        <f>'Other Highway Use Externalities'!B44</f>
        <v>0</v>
      </c>
      <c r="I30" s="7">
        <f>'Amenity Benefits'!B35</f>
        <v>0</v>
      </c>
      <c r="J30" s="7">
        <f>'Health Benefits'!B39</f>
        <v>0</v>
      </c>
      <c r="K30" s="7">
        <f>'Residual Value'!B47</f>
        <v>0</v>
      </c>
      <c r="L30" s="7">
        <f>'Other Benefit 1'!B32</f>
        <v>0</v>
      </c>
      <c r="M30" s="7">
        <f>'Other Benefit 2'!B32</f>
        <v>0</v>
      </c>
      <c r="N30" s="7">
        <f>'Other Benefit 3'!B32</f>
        <v>0</v>
      </c>
      <c r="O30" s="7">
        <f>'Other Benefit 4'!B36</f>
        <v>0</v>
      </c>
      <c r="P30" s="149">
        <f t="shared" si="0"/>
        <v>0</v>
      </c>
      <c r="Q30" s="8">
        <f>IFERROR(((P30)/(1.07)^(A30-Overview!$B$22)),0)</f>
        <v>0</v>
      </c>
    </row>
    <row r="31" spans="1:17" x14ac:dyDescent="0.35">
      <c r="A31" s="1" t="str">
        <f>IF(A30&lt;'Project Information'!B$11,A30+1,"")</f>
        <v/>
      </c>
      <c r="B31" s="7">
        <f>'Operations and Maintenance'!D33</f>
        <v>0</v>
      </c>
      <c r="C31" s="7">
        <f>Safety!D47</f>
        <v>0</v>
      </c>
      <c r="D31" s="7">
        <f>'Travel Time Savings'!D45</f>
        <v>0</v>
      </c>
      <c r="E31" s="7">
        <f>'Vehicle Operating Cost Savings'!D51</f>
        <v>0</v>
      </c>
      <c r="F31" s="21">
        <f>'Emissions Reduction'!S58</f>
        <v>0</v>
      </c>
      <c r="G31" s="21"/>
      <c r="H31" s="21">
        <f>'Other Highway Use Externalities'!B45</f>
        <v>0</v>
      </c>
      <c r="I31" s="7">
        <f>'Amenity Benefits'!B36</f>
        <v>0</v>
      </c>
      <c r="J31" s="7">
        <f>'Health Benefits'!B40</f>
        <v>0</v>
      </c>
      <c r="K31" s="7">
        <f>'Residual Value'!B48</f>
        <v>0</v>
      </c>
      <c r="L31" s="7">
        <f>'Other Benefit 1'!B33</f>
        <v>0</v>
      </c>
      <c r="M31" s="7">
        <f>'Other Benefit 2'!B33</f>
        <v>0</v>
      </c>
      <c r="N31" s="7">
        <f>'Other Benefit 3'!B33</f>
        <v>0</v>
      </c>
      <c r="O31" s="7">
        <f>'Other Benefit 4'!B37</f>
        <v>0</v>
      </c>
      <c r="P31" s="149">
        <f t="shared" si="0"/>
        <v>0</v>
      </c>
      <c r="Q31" s="8">
        <f>IFERROR(((P31)/(1.07)^(A31-Overview!$B$22)),0)</f>
        <v>0</v>
      </c>
    </row>
    <row r="32" spans="1:17" x14ac:dyDescent="0.35">
      <c r="A32" s="1" t="str">
        <f>IF(A31&lt;'Project Information'!B$11,A31+1,"")</f>
        <v/>
      </c>
      <c r="B32" s="7">
        <f>'Operations and Maintenance'!D34</f>
        <v>0</v>
      </c>
      <c r="C32" s="7">
        <f>Safety!D48</f>
        <v>0</v>
      </c>
      <c r="D32" s="7">
        <f>'Travel Time Savings'!D46</f>
        <v>0</v>
      </c>
      <c r="E32" s="7">
        <f>'Vehicle Operating Cost Savings'!D52</f>
        <v>0</v>
      </c>
      <c r="F32" s="21">
        <f>'Emissions Reduction'!S59</f>
        <v>0</v>
      </c>
      <c r="G32" s="21"/>
      <c r="H32" s="21">
        <f>'Other Highway Use Externalities'!B46</f>
        <v>0</v>
      </c>
      <c r="I32" s="7">
        <f>'Amenity Benefits'!B37</f>
        <v>0</v>
      </c>
      <c r="J32" s="7">
        <f>'Health Benefits'!B41</f>
        <v>0</v>
      </c>
      <c r="K32" s="7">
        <f>'Residual Value'!B49</f>
        <v>0</v>
      </c>
      <c r="L32" s="7">
        <f>'Other Benefit 1'!B34</f>
        <v>0</v>
      </c>
      <c r="M32" s="7">
        <f>'Other Benefit 2'!B34</f>
        <v>0</v>
      </c>
      <c r="N32" s="7">
        <f>'Other Benefit 3'!B34</f>
        <v>0</v>
      </c>
      <c r="O32" s="7">
        <f>'Other Benefit 4'!B38</f>
        <v>0</v>
      </c>
      <c r="P32" s="149">
        <f t="shared" si="0"/>
        <v>0</v>
      </c>
      <c r="Q32" s="8">
        <f>IFERROR(((P32)/(1.07)^(A32-Overview!$B$22)),0)</f>
        <v>0</v>
      </c>
    </row>
    <row r="33" spans="1:17" x14ac:dyDescent="0.35">
      <c r="A33" s="1" t="str">
        <f>IF(A32&lt;'Project Information'!B$11,A32+1,"")</f>
        <v/>
      </c>
      <c r="B33" s="7">
        <f>'Operations and Maintenance'!D35</f>
        <v>0</v>
      </c>
      <c r="C33" s="7">
        <f>Safety!D49</f>
        <v>0</v>
      </c>
      <c r="D33" s="7">
        <f>'Travel Time Savings'!D47</f>
        <v>0</v>
      </c>
      <c r="E33" s="7">
        <f>'Vehicle Operating Cost Savings'!D53</f>
        <v>0</v>
      </c>
      <c r="F33" s="21">
        <f>'Emissions Reduction'!S60</f>
        <v>0</v>
      </c>
      <c r="G33" s="21"/>
      <c r="H33" s="21">
        <f>'Other Highway Use Externalities'!B47</f>
        <v>0</v>
      </c>
      <c r="I33" s="7">
        <f>'Amenity Benefits'!B38</f>
        <v>0</v>
      </c>
      <c r="J33" s="7">
        <f>'Health Benefits'!B42</f>
        <v>0</v>
      </c>
      <c r="K33" s="7">
        <f>'Residual Value'!B50</f>
        <v>0</v>
      </c>
      <c r="L33" s="7">
        <f>'Other Benefit 1'!B35</f>
        <v>0</v>
      </c>
      <c r="M33" s="7">
        <f>'Other Benefit 2'!B35</f>
        <v>0</v>
      </c>
      <c r="N33" s="7">
        <f>'Other Benefit 3'!B35</f>
        <v>0</v>
      </c>
      <c r="O33" s="7">
        <f>'Other Benefit 4'!B39</f>
        <v>0</v>
      </c>
      <c r="P33" s="149">
        <f t="shared" si="0"/>
        <v>0</v>
      </c>
      <c r="Q33" s="8">
        <f>IFERROR(((P33)/(1.07)^(A33-Overview!$B$22)),0)</f>
        <v>0</v>
      </c>
    </row>
    <row r="34" spans="1:17" x14ac:dyDescent="0.35">
      <c r="A34" s="1" t="str">
        <f>IF(A33&lt;'Project Information'!B$11,A33+1,"")</f>
        <v/>
      </c>
      <c r="B34" s="7">
        <f>'Operations and Maintenance'!D36</f>
        <v>0</v>
      </c>
      <c r="C34" s="7">
        <f>Safety!D50</f>
        <v>0</v>
      </c>
      <c r="D34" s="7">
        <f>'Travel Time Savings'!D48</f>
        <v>0</v>
      </c>
      <c r="E34" s="7">
        <f>'Vehicle Operating Cost Savings'!D54</f>
        <v>0</v>
      </c>
      <c r="F34" s="21">
        <f>'Emissions Reduction'!S61</f>
        <v>0</v>
      </c>
      <c r="G34" s="21"/>
      <c r="H34" s="21">
        <f>'Other Highway Use Externalities'!B48</f>
        <v>0</v>
      </c>
      <c r="I34" s="7">
        <f>'Amenity Benefits'!B39</f>
        <v>0</v>
      </c>
      <c r="J34" s="7">
        <f>'Health Benefits'!B43</f>
        <v>0</v>
      </c>
      <c r="K34" s="7">
        <f>'Residual Value'!B51</f>
        <v>0</v>
      </c>
      <c r="L34" s="7">
        <f>'Other Benefit 1'!B36</f>
        <v>0</v>
      </c>
      <c r="M34" s="7">
        <f>'Other Benefit 2'!B36</f>
        <v>0</v>
      </c>
      <c r="N34" s="7">
        <f>'Other Benefit 3'!B36</f>
        <v>0</v>
      </c>
      <c r="O34" s="7">
        <f>'Other Benefit 4'!B40</f>
        <v>0</v>
      </c>
      <c r="P34" s="149">
        <f t="shared" si="0"/>
        <v>0</v>
      </c>
      <c r="Q34" s="8">
        <f>IFERROR(((P34)/(1.07)^(A34-Overview!$B$22)),0)</f>
        <v>0</v>
      </c>
    </row>
    <row r="35" spans="1:17" x14ac:dyDescent="0.35">
      <c r="A35" s="1" t="str">
        <f>IF(A34&lt;'Project Information'!B$11,A34+1,"")</f>
        <v/>
      </c>
      <c r="B35" s="7">
        <f>'Operations and Maintenance'!D37</f>
        <v>0</v>
      </c>
      <c r="C35" s="7">
        <f>Safety!D51</f>
        <v>0</v>
      </c>
      <c r="D35" s="7">
        <f>'Travel Time Savings'!D49</f>
        <v>0</v>
      </c>
      <c r="E35" s="7">
        <f>'Vehicle Operating Cost Savings'!D55</f>
        <v>0</v>
      </c>
      <c r="F35" s="21">
        <f>'Emissions Reduction'!S62</f>
        <v>0</v>
      </c>
      <c r="G35" s="21"/>
      <c r="H35" s="21">
        <f>'Other Highway Use Externalities'!B49</f>
        <v>0</v>
      </c>
      <c r="I35" s="7">
        <f>'Amenity Benefits'!B40</f>
        <v>0</v>
      </c>
      <c r="J35" s="7">
        <f>'Health Benefits'!B44</f>
        <v>0</v>
      </c>
      <c r="K35" s="7">
        <f>'Residual Value'!B52</f>
        <v>0</v>
      </c>
      <c r="L35" s="7">
        <f>'Other Benefit 1'!B37</f>
        <v>0</v>
      </c>
      <c r="M35" s="7">
        <f>'Other Benefit 2'!B37</f>
        <v>0</v>
      </c>
      <c r="N35" s="7">
        <f>'Other Benefit 3'!B37</f>
        <v>0</v>
      </c>
      <c r="O35" s="7">
        <f>'Other Benefit 4'!B41</f>
        <v>0</v>
      </c>
      <c r="P35" s="149">
        <f t="shared" si="0"/>
        <v>0</v>
      </c>
      <c r="Q35" s="8">
        <f>IFERROR(((P35)/(1.07)^(A35-Overview!$B$22)),0)</f>
        <v>0</v>
      </c>
    </row>
    <row r="36" spans="1:17" x14ac:dyDescent="0.35">
      <c r="A36" s="3" t="s">
        <v>315</v>
      </c>
      <c r="B36" s="161">
        <f>SUM(B6:B35)</f>
        <v>-1434000</v>
      </c>
      <c r="C36" s="161">
        <f t="shared" ref="C36:O36" si="1">SUM(C6:C35)</f>
        <v>43967738.293235689</v>
      </c>
      <c r="D36" s="161">
        <f t="shared" si="1"/>
        <v>0</v>
      </c>
      <c r="E36" s="161">
        <f t="shared" si="1"/>
        <v>0</v>
      </c>
      <c r="F36" s="164">
        <f t="shared" si="1"/>
        <v>0</v>
      </c>
      <c r="G36" s="164"/>
      <c r="H36" s="164">
        <f t="shared" si="1"/>
        <v>0</v>
      </c>
      <c r="I36" s="161">
        <f t="shared" si="1"/>
        <v>5103022.5836496586</v>
      </c>
      <c r="J36" s="161">
        <f t="shared" si="1"/>
        <v>739662.83187337907</v>
      </c>
      <c r="K36" s="161">
        <f t="shared" si="1"/>
        <v>0</v>
      </c>
      <c r="L36" s="161">
        <f t="shared" si="1"/>
        <v>0</v>
      </c>
      <c r="M36" s="161">
        <f t="shared" si="1"/>
        <v>0</v>
      </c>
      <c r="N36" s="161">
        <f t="shared" si="1"/>
        <v>0</v>
      </c>
      <c r="O36" s="161">
        <f t="shared" si="1"/>
        <v>0</v>
      </c>
      <c r="P36" s="162">
        <f>SUM(P6:P35)</f>
        <v>51244423.708758727</v>
      </c>
      <c r="Q36" s="157"/>
    </row>
    <row r="37" spans="1:17" x14ac:dyDescent="0.35">
      <c r="A37" s="25" t="s">
        <v>177</v>
      </c>
      <c r="B37" s="161">
        <f>NPV(0.07,B6:B35)/(1.07)^($A$6-Overview!$B$22-1)</f>
        <v>-745369.35003880353</v>
      </c>
      <c r="C37" s="161">
        <f>NPV(0.07,C6:C35)/(1.07)^($A$6-Overview!$B$22-1)</f>
        <v>13549945.261779483</v>
      </c>
      <c r="D37" s="161">
        <f>NPV(0.07,D6:D35)/(1.07)^($A$6-Overview!$B$22-1)</f>
        <v>0</v>
      </c>
      <c r="E37" s="161">
        <f>NPV(0.07,E6:E35)/(1.07)^($A$6-Overview!$B$22-1)</f>
        <v>0</v>
      </c>
      <c r="F37" s="37">
        <f>NPV(0.07,F6:F35)/(1.07)^($A$6-Overview!$B$22-1)</f>
        <v>0</v>
      </c>
      <c r="G37" s="37"/>
      <c r="H37" s="37">
        <f>NPV(0.07,H6:H35)/(1.07)^($A$6-Overview!$B$22-1)</f>
        <v>0</v>
      </c>
      <c r="I37" s="161">
        <f>NPV(0.07,I6:I35)/(1.07)^($A$6-Overview!$B$22-1)</f>
        <v>1572645.7543312248</v>
      </c>
      <c r="J37" s="161">
        <f>NPV(0.07,J6:J35)/(1.07)^($A$6-Overview!$B$22-1)</f>
        <v>227948.74772075773</v>
      </c>
      <c r="K37" s="161">
        <f>NPV(0.07,K6:K35)/(1.07)^($A$6-Overview!$B$22-1)</f>
        <v>0</v>
      </c>
      <c r="L37" s="161">
        <f>NPV(0.07,L6:L35)/(1.07)^($A$6-Overview!$B$22-1)</f>
        <v>0</v>
      </c>
      <c r="M37" s="161">
        <f>NPV(0.07,M6:M35)/(1.07)^($A$6-Overview!$B$22-1)</f>
        <v>0</v>
      </c>
      <c r="N37" s="161">
        <f>NPV(0.07,N6:N35)/(1.07)^($A$6-Overview!$B$22-1)</f>
        <v>0</v>
      </c>
      <c r="O37" s="161">
        <f>NPV(0.07,O6:O35)/(1.07)^($A$6-Overview!$B$22-1)</f>
        <v>0</v>
      </c>
      <c r="P37" s="161">
        <f>NPV(0.07,P6:P35)/(1.07)^($A$6-Overview!$B$22-1)</f>
        <v>16095909.113870269</v>
      </c>
      <c r="Q37" s="157">
        <f>SUM(Q6:Q35)</f>
        <v>16095909.113870276</v>
      </c>
    </row>
    <row r="38" spans="1:17" x14ac:dyDescent="0.35">
      <c r="A38" s="5" t="s">
        <v>203</v>
      </c>
    </row>
    <row r="39" spans="1:17" x14ac:dyDescent="0.35">
      <c r="A39" s="95" t="s">
        <v>236</v>
      </c>
    </row>
    <row r="40" spans="1:17" x14ac:dyDescent="0.35">
      <c r="A40" s="107" t="s">
        <v>4</v>
      </c>
      <c r="B40" s="110" t="s">
        <v>5</v>
      </c>
      <c r="C40" s="105" t="s">
        <v>6</v>
      </c>
    </row>
    <row r="41" spans="1:17" x14ac:dyDescent="0.35">
      <c r="A41" s="118">
        <f>'Capital Costs'!A9</f>
        <v>2030</v>
      </c>
      <c r="B41" s="7">
        <f>'Capital Costs'!C9</f>
        <v>3239658.2164601898</v>
      </c>
      <c r="C41" s="18">
        <f>B41/(1.07)^(A41-Overview!$B$22)</f>
        <v>2158721.0603615195</v>
      </c>
    </row>
    <row r="42" spans="1:17" x14ac:dyDescent="0.35">
      <c r="A42" s="119">
        <f t="shared" ref="A42:A55" si="2">A41+1</f>
        <v>2031</v>
      </c>
      <c r="B42" s="7">
        <f>'Capital Costs'!C10</f>
        <v>3145299.2392817372</v>
      </c>
      <c r="C42" s="18">
        <f>B42/(1.07)^(A42-Overview!$B$22)</f>
        <v>1958734.2894125027</v>
      </c>
    </row>
    <row r="43" spans="1:17" x14ac:dyDescent="0.35">
      <c r="A43" s="119">
        <f t="shared" si="2"/>
        <v>2032</v>
      </c>
      <c r="B43" s="7">
        <f>'Capital Costs'!C11</f>
        <v>3053688.5818269299</v>
      </c>
      <c r="C43" s="18">
        <f>B43/(1.07)^(A43-Overview!$B$22)</f>
        <v>1777274.5571295735</v>
      </c>
    </row>
    <row r="44" spans="1:17" x14ac:dyDescent="0.35">
      <c r="A44" s="119">
        <f t="shared" si="2"/>
        <v>2033</v>
      </c>
      <c r="B44" s="7">
        <f>'Capital Costs'!C12</f>
        <v>0</v>
      </c>
      <c r="C44" s="18">
        <f>B44/(1.07)^(A44-Overview!$B$22)</f>
        <v>0</v>
      </c>
    </row>
    <row r="45" spans="1:17" x14ac:dyDescent="0.35">
      <c r="A45" s="119">
        <f t="shared" si="2"/>
        <v>2034</v>
      </c>
      <c r="B45" s="7">
        <f>'Capital Costs'!C13</f>
        <v>0</v>
      </c>
      <c r="C45" s="18">
        <f>B45/(1.07)^(A45-Overview!$B$22)</f>
        <v>0</v>
      </c>
      <c r="D45" s="36"/>
    </row>
    <row r="46" spans="1:17" x14ac:dyDescent="0.35">
      <c r="A46" s="119">
        <f t="shared" si="2"/>
        <v>2035</v>
      </c>
      <c r="B46" s="7">
        <f>'Capital Costs'!C14</f>
        <v>0</v>
      </c>
      <c r="C46" s="18">
        <f>B46/(1.07)^(A46-Overview!$B$22)</f>
        <v>0</v>
      </c>
      <c r="D46" s="36"/>
    </row>
    <row r="47" spans="1:17" x14ac:dyDescent="0.35">
      <c r="A47" s="119">
        <f t="shared" si="2"/>
        <v>2036</v>
      </c>
      <c r="B47" s="7">
        <f>'Capital Costs'!C15</f>
        <v>0</v>
      </c>
      <c r="C47" s="18">
        <f>B47/(1.07)^(A47-Overview!$B$22)</f>
        <v>0</v>
      </c>
      <c r="D47" s="36"/>
    </row>
    <row r="48" spans="1:17" x14ac:dyDescent="0.35">
      <c r="A48" s="119">
        <f t="shared" si="2"/>
        <v>2037</v>
      </c>
      <c r="B48" s="7">
        <f>'Capital Costs'!C16</f>
        <v>0</v>
      </c>
      <c r="C48" s="18">
        <f>B48/(1.07)^(A48-Overview!$B$22)</f>
        <v>0</v>
      </c>
      <c r="D48" s="36"/>
    </row>
    <row r="49" spans="1:4" x14ac:dyDescent="0.35">
      <c r="A49" s="119">
        <f t="shared" si="2"/>
        <v>2038</v>
      </c>
      <c r="B49" s="7">
        <f>'Capital Costs'!C17</f>
        <v>0</v>
      </c>
      <c r="C49" s="18">
        <f>B49/(1.07)^(A49-Overview!$B$22)</f>
        <v>0</v>
      </c>
      <c r="D49" s="36"/>
    </row>
    <row r="50" spans="1:4" x14ac:dyDescent="0.35">
      <c r="A50" s="119">
        <f t="shared" si="2"/>
        <v>2039</v>
      </c>
      <c r="B50" s="7">
        <f>'Capital Costs'!C18</f>
        <v>0</v>
      </c>
      <c r="C50" s="18">
        <f>B50/(1.07)^(A50-Overview!$B$22)</f>
        <v>0</v>
      </c>
    </row>
    <row r="51" spans="1:4" x14ac:dyDescent="0.35">
      <c r="A51" s="119">
        <f t="shared" si="2"/>
        <v>2040</v>
      </c>
      <c r="B51" s="7">
        <f>'Capital Costs'!C19</f>
        <v>0</v>
      </c>
      <c r="C51" s="18">
        <f>B51/(1.07)^(A51-Overview!$B$22)</f>
        <v>0</v>
      </c>
    </row>
    <row r="52" spans="1:4" x14ac:dyDescent="0.35">
      <c r="A52" s="119">
        <f t="shared" si="2"/>
        <v>2041</v>
      </c>
      <c r="B52" s="7">
        <f>'Capital Costs'!C20</f>
        <v>0</v>
      </c>
      <c r="C52" s="18">
        <f>B52/(1.07)^(A52-Overview!$B$22)</f>
        <v>0</v>
      </c>
    </row>
    <row r="53" spans="1:4" x14ac:dyDescent="0.35">
      <c r="A53" s="119">
        <f t="shared" si="2"/>
        <v>2042</v>
      </c>
      <c r="B53" s="7">
        <f>'Capital Costs'!C21</f>
        <v>0</v>
      </c>
      <c r="C53" s="18">
        <f>B53/(1.07)^(A53-Overview!$B$22)</f>
        <v>0</v>
      </c>
    </row>
    <row r="54" spans="1:4" x14ac:dyDescent="0.35">
      <c r="A54" s="119">
        <f t="shared" si="2"/>
        <v>2043</v>
      </c>
      <c r="B54" s="7">
        <f>'Capital Costs'!C22</f>
        <v>0</v>
      </c>
      <c r="C54" s="18">
        <f>B54/(1.07)^(A54-Overview!$B$22)</f>
        <v>0</v>
      </c>
    </row>
    <row r="55" spans="1:4" x14ac:dyDescent="0.35">
      <c r="A55" s="119">
        <f t="shared" si="2"/>
        <v>2044</v>
      </c>
      <c r="B55" s="7">
        <f>'Capital Costs'!C23</f>
        <v>0</v>
      </c>
      <c r="C55" s="18">
        <f>B55/(1.07)^(A55-Overview!$B$22)</f>
        <v>0</v>
      </c>
    </row>
    <row r="56" spans="1:4" x14ac:dyDescent="0.35">
      <c r="A56" s="25" t="s">
        <v>19</v>
      </c>
      <c r="B56" s="161">
        <f>SUM(B41:B55)</f>
        <v>9438646.037568856</v>
      </c>
      <c r="C56" s="163">
        <f>SUM(C41:C55)+'Capital Costs'!A5</f>
        <v>5894729.9069035957</v>
      </c>
      <c r="D56" s="36"/>
    </row>
    <row r="57" spans="1:4" x14ac:dyDescent="0.35">
      <c r="C57" s="36"/>
      <c r="D57" s="36"/>
    </row>
    <row r="58" spans="1:4" x14ac:dyDescent="0.35">
      <c r="C58" s="36"/>
      <c r="D58" s="36"/>
    </row>
    <row r="59" spans="1:4" x14ac:dyDescent="0.35">
      <c r="C59" s="36"/>
      <c r="D59" s="36"/>
    </row>
    <row r="60" spans="1:4" x14ac:dyDescent="0.35">
      <c r="C60" s="36"/>
      <c r="D60" s="36"/>
    </row>
    <row r="61" spans="1:4" x14ac:dyDescent="0.35">
      <c r="C61" s="36"/>
      <c r="D61" s="36"/>
    </row>
    <row r="62" spans="1:4" x14ac:dyDescent="0.35">
      <c r="C62" s="36"/>
      <c r="D62" s="36"/>
    </row>
    <row r="63" spans="1:4" x14ac:dyDescent="0.35">
      <c r="D63" s="36"/>
    </row>
    <row r="65" spans="3:3" x14ac:dyDescent="0.35">
      <c r="C65" s="29"/>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06FF2-EC53-4111-9343-1323F6427D32}">
  <sheetPr>
    <tabColor theme="0" tint="-0.249977111117893"/>
  </sheetPr>
  <dimension ref="A1:C11"/>
  <sheetViews>
    <sheetView workbookViewId="0"/>
  </sheetViews>
  <sheetFormatPr defaultColWidth="8.7265625" defaultRowHeight="14.5" x14ac:dyDescent="0.35"/>
  <cols>
    <col min="1" max="1" width="41.26953125" style="5" customWidth="1"/>
    <col min="2" max="2" width="91.6328125" style="5" bestFit="1" customWidth="1"/>
    <col min="3" max="16384" width="8.7265625" style="5"/>
  </cols>
  <sheetData>
    <row r="1" spans="1:3" ht="20" thickBot="1" x14ac:dyDescent="0.5">
      <c r="A1" s="94" t="s">
        <v>217</v>
      </c>
    </row>
    <row r="2" spans="1:3" ht="19" thickTop="1" x14ac:dyDescent="0.35">
      <c r="A2" s="101" t="s">
        <v>203</v>
      </c>
    </row>
    <row r="3" spans="1:3" x14ac:dyDescent="0.35">
      <c r="A3" s="95" t="s">
        <v>214</v>
      </c>
    </row>
    <row r="4" spans="1:3" x14ac:dyDescent="0.35">
      <c r="A4" s="103" t="s">
        <v>31</v>
      </c>
      <c r="B4" s="103" t="s">
        <v>211</v>
      </c>
    </row>
    <row r="5" spans="1:3" x14ac:dyDescent="0.35">
      <c r="A5" s="96" t="s">
        <v>0</v>
      </c>
      <c r="B5" s="102">
        <f>Summary!Q37</f>
        <v>16095909.113870276</v>
      </c>
    </row>
    <row r="6" spans="1:3" x14ac:dyDescent="0.35">
      <c r="A6" s="96" t="s">
        <v>1</v>
      </c>
      <c r="B6" s="102">
        <f>Summary!C56</f>
        <v>5894729.9069035957</v>
      </c>
    </row>
    <row r="7" spans="1:3" x14ac:dyDescent="0.35">
      <c r="A7" s="96" t="s">
        <v>2</v>
      </c>
      <c r="B7" s="102">
        <f>B5-B6</f>
        <v>10201179.20696668</v>
      </c>
    </row>
    <row r="8" spans="1:3" x14ac:dyDescent="0.35">
      <c r="A8" s="96" t="s">
        <v>3</v>
      </c>
      <c r="B8" s="137">
        <f>IFERROR(B5/B6, "Enter Costs in 'Capital Cost' sheet")</f>
        <v>2.7305592229119098</v>
      </c>
      <c r="C8" s="5" t="s">
        <v>257</v>
      </c>
    </row>
    <row r="11" spans="1:3" x14ac:dyDescent="0.35">
      <c r="B11" s="390"/>
    </row>
  </sheetData>
  <conditionalFormatting sqref="A4:B4">
    <cfRule type="expression" dxfId="22" priority="1">
      <formula>ISNUMBER(SEARCH("_sns",A$4))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F9DC5-C9C2-4023-B877-38772BB6BEA7}">
  <sheetPr>
    <tabColor theme="9" tint="0.39997558519241921"/>
  </sheetPr>
  <dimension ref="A1:E11"/>
  <sheetViews>
    <sheetView workbookViewId="0"/>
  </sheetViews>
  <sheetFormatPr defaultColWidth="8.7265625" defaultRowHeight="14.5" x14ac:dyDescent="0.35"/>
  <cols>
    <col min="1" max="1" width="56.26953125" style="5" customWidth="1"/>
    <col min="2" max="16384" width="8.7265625" style="5"/>
  </cols>
  <sheetData>
    <row r="1" spans="1:5" ht="20" thickBot="1" x14ac:dyDescent="0.5">
      <c r="A1" s="94" t="s">
        <v>208</v>
      </c>
    </row>
    <row r="2" spans="1:5" ht="15" thickTop="1" x14ac:dyDescent="0.35">
      <c r="A2" s="144" t="s">
        <v>178</v>
      </c>
      <c r="B2" s="144"/>
      <c r="C2" s="144"/>
      <c r="D2" s="144"/>
      <c r="E2" s="144"/>
    </row>
    <row r="3" spans="1:5" x14ac:dyDescent="0.35">
      <c r="A3" s="5" t="s">
        <v>203</v>
      </c>
    </row>
    <row r="4" spans="1:5" x14ac:dyDescent="0.35">
      <c r="A4" s="95" t="s">
        <v>209</v>
      </c>
    </row>
    <row r="5" spans="1:5" x14ac:dyDescent="0.35">
      <c r="A5" s="97" t="s">
        <v>210</v>
      </c>
      <c r="B5" s="98" t="s">
        <v>211</v>
      </c>
    </row>
    <row r="6" spans="1:5" x14ac:dyDescent="0.35">
      <c r="A6" s="43" t="s">
        <v>158</v>
      </c>
      <c r="B6" s="96">
        <f>Overview!B22</f>
        <v>2024</v>
      </c>
    </row>
    <row r="7" spans="1:5" x14ac:dyDescent="0.35">
      <c r="A7" s="43" t="s">
        <v>278</v>
      </c>
      <c r="B7" s="23">
        <f>Inputs!$E$14</f>
        <v>2030</v>
      </c>
      <c r="C7" s="5" t="s">
        <v>295</v>
      </c>
    </row>
    <row r="8" spans="1:5" x14ac:dyDescent="0.35">
      <c r="A8" s="43" t="s">
        <v>163</v>
      </c>
      <c r="B8" s="23">
        <f>Inputs!$E$15-Inputs!$E$14</f>
        <v>3</v>
      </c>
      <c r="C8" s="5" t="s">
        <v>165</v>
      </c>
    </row>
    <row r="9" spans="1:5" x14ac:dyDescent="0.35">
      <c r="A9" s="43" t="s">
        <v>162</v>
      </c>
      <c r="B9" s="96">
        <f>B7+B8</f>
        <v>2033</v>
      </c>
    </row>
    <row r="10" spans="1:5" x14ac:dyDescent="0.35">
      <c r="A10" s="43" t="s">
        <v>164</v>
      </c>
      <c r="B10" s="23">
        <v>20</v>
      </c>
      <c r="C10" s="5" t="s">
        <v>311</v>
      </c>
    </row>
    <row r="11" spans="1:5" x14ac:dyDescent="0.35">
      <c r="A11" s="43" t="s">
        <v>168</v>
      </c>
      <c r="B11" s="403">
        <f>B7+B8+B10-1</f>
        <v>2052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762AA-A4A0-4AEE-A83B-E1DACDC73A36}">
  <sheetPr>
    <tabColor theme="0" tint="-0.249977111117893"/>
  </sheetPr>
  <dimension ref="A1:F242"/>
  <sheetViews>
    <sheetView workbookViewId="0"/>
  </sheetViews>
  <sheetFormatPr defaultRowHeight="14.5" x14ac:dyDescent="0.35"/>
  <cols>
    <col min="1" max="1" width="48.81640625" customWidth="1"/>
    <col min="2" max="2" width="27.26953125" customWidth="1"/>
    <col min="3" max="3" width="22.54296875" customWidth="1"/>
    <col min="4" max="4" width="19" customWidth="1"/>
    <col min="5" max="5" width="13.54296875" customWidth="1"/>
    <col min="6" max="6" width="12" customWidth="1"/>
  </cols>
  <sheetData>
    <row r="1" spans="1:6" ht="21" x14ac:dyDescent="0.5">
      <c r="A1" s="56" t="s">
        <v>202</v>
      </c>
      <c r="B1" s="57"/>
      <c r="C1" s="57"/>
      <c r="D1" s="57"/>
      <c r="E1" s="71"/>
      <c r="F1" s="71"/>
    </row>
    <row r="2" spans="1:6" x14ac:dyDescent="0.35">
      <c r="A2" s="144" t="s">
        <v>287</v>
      </c>
      <c r="B2" s="144"/>
      <c r="C2" s="144"/>
      <c r="D2" s="144"/>
      <c r="E2" s="144"/>
      <c r="F2" s="60"/>
    </row>
    <row r="3" spans="1:6" x14ac:dyDescent="0.35">
      <c r="A3" s="61" t="s">
        <v>286</v>
      </c>
      <c r="F3" s="60"/>
    </row>
    <row r="4" spans="1:6" x14ac:dyDescent="0.35">
      <c r="A4" s="62" t="s">
        <v>203</v>
      </c>
      <c r="F4" s="60"/>
    </row>
    <row r="5" spans="1:6" x14ac:dyDescent="0.35">
      <c r="A5" s="63" t="s">
        <v>258</v>
      </c>
      <c r="B5" s="64"/>
      <c r="C5" s="64"/>
      <c r="D5" s="64"/>
      <c r="E5" s="64"/>
      <c r="F5" s="60"/>
    </row>
    <row r="6" spans="1:6" ht="17.25" customHeight="1" x14ac:dyDescent="0.35">
      <c r="A6" s="66" t="s">
        <v>20</v>
      </c>
      <c r="B6" s="66" t="s">
        <v>327</v>
      </c>
      <c r="C6" s="64"/>
      <c r="D6" s="64"/>
      <c r="E6" s="64"/>
      <c r="F6" s="60"/>
    </row>
    <row r="7" spans="1:6" x14ac:dyDescent="0.35">
      <c r="A7" s="67" t="s">
        <v>21</v>
      </c>
      <c r="B7" s="68">
        <v>5500</v>
      </c>
      <c r="C7" s="64"/>
      <c r="D7" s="64"/>
      <c r="E7" s="64"/>
      <c r="F7" s="60"/>
    </row>
    <row r="8" spans="1:6" x14ac:dyDescent="0.35">
      <c r="A8" s="67" t="s">
        <v>22</v>
      </c>
      <c r="B8" s="68">
        <v>122400</v>
      </c>
      <c r="C8" s="64"/>
      <c r="D8" s="64"/>
      <c r="E8" s="64"/>
      <c r="F8" s="60"/>
    </row>
    <row r="9" spans="1:6" x14ac:dyDescent="0.35">
      <c r="A9" s="67" t="s">
        <v>23</v>
      </c>
      <c r="B9" s="68">
        <v>256300</v>
      </c>
      <c r="C9" s="64"/>
      <c r="D9" s="64"/>
      <c r="E9" s="64"/>
      <c r="F9" s="60"/>
    </row>
    <row r="10" spans="1:6" x14ac:dyDescent="0.35">
      <c r="A10" s="67" t="s">
        <v>24</v>
      </c>
      <c r="B10" s="68">
        <v>1302300</v>
      </c>
      <c r="C10" s="64"/>
      <c r="D10" s="64"/>
      <c r="E10" s="64"/>
      <c r="F10" s="60"/>
    </row>
    <row r="11" spans="1:6" x14ac:dyDescent="0.35">
      <c r="A11" s="67" t="s">
        <v>25</v>
      </c>
      <c r="B11" s="402">
        <v>13700000</v>
      </c>
      <c r="C11" s="64"/>
      <c r="D11" s="64"/>
      <c r="E11" s="64"/>
      <c r="F11" s="60"/>
    </row>
    <row r="12" spans="1:6" x14ac:dyDescent="0.35">
      <c r="A12" s="67" t="s">
        <v>26</v>
      </c>
      <c r="B12" s="68">
        <v>238500</v>
      </c>
      <c r="C12" s="64"/>
      <c r="D12" s="64"/>
      <c r="E12" s="64"/>
      <c r="F12" s="60"/>
    </row>
    <row r="13" spans="1:6" x14ac:dyDescent="0.35">
      <c r="A13" s="63" t="s">
        <v>316</v>
      </c>
      <c r="B13" s="64"/>
      <c r="C13" s="64"/>
      <c r="D13" s="64"/>
      <c r="E13" s="64"/>
      <c r="F13" s="60"/>
    </row>
    <row r="14" spans="1:6" x14ac:dyDescent="0.35">
      <c r="A14" s="66" t="s">
        <v>27</v>
      </c>
      <c r="B14" s="66" t="s">
        <v>327</v>
      </c>
      <c r="C14" s="64"/>
      <c r="D14" s="64"/>
      <c r="E14" s="64"/>
      <c r="F14" s="60"/>
    </row>
    <row r="15" spans="1:6" x14ac:dyDescent="0.35">
      <c r="A15" s="67" t="s">
        <v>259</v>
      </c>
      <c r="B15" s="68">
        <v>9700</v>
      </c>
      <c r="C15" s="64"/>
      <c r="D15" s="64"/>
      <c r="E15" s="64"/>
      <c r="F15" s="60"/>
    </row>
    <row r="16" spans="1:6" x14ac:dyDescent="0.35">
      <c r="A16" s="67" t="s">
        <v>28</v>
      </c>
      <c r="B16" s="68">
        <v>342400</v>
      </c>
      <c r="C16" s="64"/>
      <c r="D16" s="64"/>
      <c r="E16" s="64"/>
      <c r="F16" s="60"/>
    </row>
    <row r="17" spans="1:6" x14ac:dyDescent="0.35">
      <c r="A17" s="67" t="s">
        <v>29</v>
      </c>
      <c r="B17" s="68">
        <v>15366900</v>
      </c>
      <c r="C17" s="64"/>
      <c r="D17" s="64"/>
      <c r="E17" s="64"/>
      <c r="F17" s="60"/>
    </row>
    <row r="18" spans="1:6" x14ac:dyDescent="0.35">
      <c r="A18" s="65" t="s">
        <v>203</v>
      </c>
      <c r="B18" s="64"/>
      <c r="C18" s="64"/>
      <c r="D18" s="64"/>
      <c r="E18" s="64"/>
      <c r="F18" s="60"/>
    </row>
    <row r="19" spans="1:6" x14ac:dyDescent="0.35">
      <c r="A19" s="63" t="s">
        <v>260</v>
      </c>
      <c r="B19" s="64"/>
      <c r="C19" s="64"/>
      <c r="D19" s="64"/>
      <c r="E19" s="64"/>
      <c r="F19" s="60"/>
    </row>
    <row r="20" spans="1:6" ht="15" customHeight="1" x14ac:dyDescent="0.35">
      <c r="A20" s="536" t="s">
        <v>30</v>
      </c>
      <c r="B20" s="536"/>
      <c r="C20" s="64"/>
      <c r="D20" s="64"/>
      <c r="E20" s="64"/>
      <c r="F20" s="60"/>
    </row>
    <row r="21" spans="1:6" x14ac:dyDescent="0.35">
      <c r="A21" s="536" t="s">
        <v>330</v>
      </c>
      <c r="B21" s="536"/>
      <c r="C21" s="64"/>
      <c r="D21" s="64"/>
      <c r="E21" s="64"/>
      <c r="F21" s="60"/>
    </row>
    <row r="22" spans="1:6" x14ac:dyDescent="0.35">
      <c r="A22" s="66" t="s">
        <v>31</v>
      </c>
      <c r="B22" s="66" t="s">
        <v>32</v>
      </c>
      <c r="C22" s="64"/>
      <c r="D22" s="64"/>
      <c r="E22" s="64"/>
      <c r="F22" s="60"/>
    </row>
    <row r="23" spans="1:6" x14ac:dyDescent="0.35">
      <c r="A23" s="67" t="s">
        <v>33</v>
      </c>
      <c r="B23" s="69"/>
      <c r="C23" s="64"/>
      <c r="D23" s="64"/>
      <c r="E23" s="64"/>
      <c r="F23" s="60"/>
    </row>
    <row r="24" spans="1:6" ht="16" x14ac:dyDescent="0.35">
      <c r="A24" s="67" t="s">
        <v>38</v>
      </c>
      <c r="B24" s="70">
        <v>20.100000000000001</v>
      </c>
      <c r="C24" s="64"/>
      <c r="D24" s="64"/>
      <c r="E24" s="64"/>
      <c r="F24" s="60"/>
    </row>
    <row r="25" spans="1:6" ht="16" x14ac:dyDescent="0.35">
      <c r="A25" s="67" t="s">
        <v>39</v>
      </c>
      <c r="B25" s="70">
        <v>34.6</v>
      </c>
      <c r="C25" s="64"/>
      <c r="D25" s="64"/>
      <c r="E25" s="64"/>
      <c r="F25" s="60"/>
    </row>
    <row r="26" spans="1:6" ht="16" x14ac:dyDescent="0.35">
      <c r="A26" s="67" t="s">
        <v>40</v>
      </c>
      <c r="B26" s="70">
        <v>21.8</v>
      </c>
      <c r="C26" s="64"/>
      <c r="D26" s="64"/>
      <c r="E26" s="64"/>
      <c r="F26" s="60"/>
    </row>
    <row r="27" spans="1:6" x14ac:dyDescent="0.35">
      <c r="A27" s="67"/>
      <c r="B27" s="70"/>
      <c r="C27" s="64"/>
      <c r="D27" s="64"/>
      <c r="E27" s="64"/>
      <c r="F27" s="60"/>
    </row>
    <row r="28" spans="1:6" ht="16" x14ac:dyDescent="0.35">
      <c r="A28" s="67" t="s">
        <v>41</v>
      </c>
      <c r="B28" s="70">
        <v>40.200000000000003</v>
      </c>
      <c r="C28" s="64"/>
      <c r="D28" s="64"/>
      <c r="E28" s="64"/>
      <c r="F28" s="60"/>
    </row>
    <row r="29" spans="1:6" x14ac:dyDescent="0.35">
      <c r="A29" s="69"/>
      <c r="B29" s="70"/>
      <c r="C29" s="64"/>
      <c r="D29" s="64"/>
      <c r="E29" s="64"/>
      <c r="F29" s="60"/>
    </row>
    <row r="30" spans="1:6" ht="16" x14ac:dyDescent="0.35">
      <c r="A30" s="67" t="s">
        <v>42</v>
      </c>
      <c r="B30" s="70"/>
      <c r="C30" s="64"/>
      <c r="D30" s="64"/>
      <c r="E30" s="64"/>
      <c r="F30" s="60"/>
    </row>
    <row r="31" spans="1:6" x14ac:dyDescent="0.35">
      <c r="A31" s="67" t="s">
        <v>34</v>
      </c>
      <c r="B31" s="70">
        <v>37.200000000000003</v>
      </c>
      <c r="C31" s="64"/>
      <c r="D31" s="64"/>
      <c r="E31" s="64"/>
      <c r="F31" s="60"/>
    </row>
    <row r="32" spans="1:6" x14ac:dyDescent="0.35">
      <c r="A32" s="67" t="s">
        <v>35</v>
      </c>
      <c r="B32" s="70">
        <v>40.299999999999997</v>
      </c>
      <c r="C32" s="64"/>
      <c r="D32" s="64"/>
      <c r="E32" s="64"/>
      <c r="F32" s="60"/>
    </row>
    <row r="33" spans="1:6" x14ac:dyDescent="0.35">
      <c r="A33" s="67" t="s">
        <v>36</v>
      </c>
      <c r="B33" s="70">
        <v>59.5</v>
      </c>
      <c r="C33" s="64"/>
      <c r="D33" s="64"/>
      <c r="E33" s="64"/>
      <c r="F33" s="60"/>
    </row>
    <row r="34" spans="1:6" x14ac:dyDescent="0.35">
      <c r="A34" s="67" t="s">
        <v>37</v>
      </c>
      <c r="B34" s="70">
        <v>54.2</v>
      </c>
      <c r="C34" s="64"/>
      <c r="D34" s="64"/>
      <c r="E34" s="64"/>
      <c r="F34" s="60"/>
    </row>
    <row r="35" spans="1:6" x14ac:dyDescent="0.35">
      <c r="A35" s="73"/>
      <c r="B35" s="74"/>
      <c r="C35" s="64"/>
      <c r="D35" s="64"/>
      <c r="E35" s="64"/>
      <c r="F35" s="60"/>
    </row>
    <row r="36" spans="1:6" ht="83.25" customHeight="1" x14ac:dyDescent="0.35">
      <c r="A36" s="537" t="s">
        <v>328</v>
      </c>
      <c r="B36" s="538"/>
      <c r="C36" s="64"/>
      <c r="D36" s="64"/>
      <c r="E36" s="64"/>
      <c r="F36" s="60"/>
    </row>
    <row r="37" spans="1:6" ht="54" customHeight="1" x14ac:dyDescent="0.35">
      <c r="A37" s="537" t="s">
        <v>43</v>
      </c>
      <c r="B37" s="538"/>
      <c r="C37" s="64"/>
      <c r="D37" s="64"/>
      <c r="E37" s="64"/>
      <c r="F37" s="60"/>
    </row>
    <row r="38" spans="1:6" ht="58.5" customHeight="1" x14ac:dyDescent="0.35">
      <c r="A38" s="537" t="s">
        <v>329</v>
      </c>
      <c r="B38" s="538"/>
      <c r="C38" s="64"/>
      <c r="D38" s="64"/>
      <c r="E38" s="64"/>
      <c r="F38" s="60"/>
    </row>
    <row r="39" spans="1:6" ht="25.5" customHeight="1" x14ac:dyDescent="0.35">
      <c r="A39" s="541" t="s">
        <v>44</v>
      </c>
      <c r="B39" s="542"/>
      <c r="C39" s="64"/>
      <c r="D39" s="64"/>
      <c r="E39" s="64"/>
      <c r="F39" s="60"/>
    </row>
    <row r="40" spans="1:6" ht="23.25" customHeight="1" x14ac:dyDescent="0.35">
      <c r="A40" s="543" t="s">
        <v>45</v>
      </c>
      <c r="B40" s="544"/>
      <c r="C40" s="64"/>
      <c r="D40" s="64"/>
      <c r="E40" s="64"/>
      <c r="F40" s="60"/>
    </row>
    <row r="41" spans="1:6" x14ac:dyDescent="0.35">
      <c r="A41" s="5" t="s">
        <v>203</v>
      </c>
      <c r="B41" s="64"/>
      <c r="C41" s="64"/>
      <c r="D41" s="64"/>
      <c r="E41" s="64"/>
      <c r="F41" s="60"/>
    </row>
    <row r="42" spans="1:6" x14ac:dyDescent="0.35">
      <c r="A42" s="63" t="s">
        <v>261</v>
      </c>
      <c r="B42" s="64"/>
      <c r="C42" s="64"/>
      <c r="D42" s="64"/>
      <c r="E42" s="64"/>
      <c r="F42" s="60"/>
    </row>
    <row r="43" spans="1:6" x14ac:dyDescent="0.35">
      <c r="A43" s="75" t="s">
        <v>46</v>
      </c>
      <c r="B43" s="76" t="s">
        <v>47</v>
      </c>
      <c r="C43" s="64"/>
      <c r="D43" s="64"/>
      <c r="E43" s="64"/>
      <c r="F43" s="60"/>
    </row>
    <row r="44" spans="1:6" ht="16" x14ac:dyDescent="0.35">
      <c r="A44" s="67" t="s">
        <v>51</v>
      </c>
      <c r="B44" s="77">
        <v>1.34</v>
      </c>
      <c r="C44" s="64"/>
      <c r="D44" s="64"/>
      <c r="E44" s="64"/>
      <c r="F44" s="60"/>
    </row>
    <row r="45" spans="1:6" x14ac:dyDescent="0.35">
      <c r="A45" s="67" t="s">
        <v>48</v>
      </c>
      <c r="B45" s="77">
        <v>1.41</v>
      </c>
      <c r="C45" s="64"/>
      <c r="D45" s="64"/>
      <c r="E45" s="64"/>
      <c r="F45" s="60"/>
    </row>
    <row r="46" spans="1:6" x14ac:dyDescent="0.35">
      <c r="A46" s="67" t="s">
        <v>49</v>
      </c>
      <c r="B46" s="77">
        <v>1.81</v>
      </c>
      <c r="C46" s="64"/>
      <c r="D46" s="64"/>
      <c r="E46" s="64"/>
      <c r="F46" s="60"/>
    </row>
    <row r="47" spans="1:6" x14ac:dyDescent="0.35">
      <c r="A47" s="67" t="s">
        <v>50</v>
      </c>
      <c r="B47" s="77">
        <v>1.52</v>
      </c>
      <c r="C47" s="64"/>
      <c r="D47" s="64"/>
      <c r="E47" s="64"/>
      <c r="F47" s="60"/>
    </row>
    <row r="48" spans="1:6" x14ac:dyDescent="0.35">
      <c r="A48" s="65"/>
      <c r="B48" s="72"/>
      <c r="C48" s="64"/>
      <c r="D48" s="64"/>
      <c r="E48" s="64"/>
      <c r="F48" s="60"/>
    </row>
    <row r="49" spans="1:6" ht="45" customHeight="1" x14ac:dyDescent="0.35">
      <c r="A49" s="539" t="s">
        <v>52</v>
      </c>
      <c r="B49" s="540"/>
      <c r="C49" s="64"/>
      <c r="D49" s="64"/>
      <c r="E49" s="64"/>
      <c r="F49" s="60"/>
    </row>
    <row r="50" spans="1:6" x14ac:dyDescent="0.35">
      <c r="A50" s="5" t="s">
        <v>203</v>
      </c>
      <c r="B50" s="64"/>
      <c r="C50" s="64"/>
      <c r="D50" s="64"/>
      <c r="E50" s="64"/>
      <c r="F50" s="60"/>
    </row>
    <row r="51" spans="1:6" x14ac:dyDescent="0.35">
      <c r="A51" s="63" t="s">
        <v>262</v>
      </c>
      <c r="B51" s="64"/>
      <c r="C51" s="64"/>
      <c r="D51" s="64"/>
      <c r="E51" s="64"/>
      <c r="F51" s="60"/>
    </row>
    <row r="52" spans="1:6" ht="30" customHeight="1" x14ac:dyDescent="0.35">
      <c r="A52" s="75" t="s">
        <v>46</v>
      </c>
      <c r="B52" s="76" t="s">
        <v>331</v>
      </c>
      <c r="C52" s="64"/>
      <c r="D52" s="64"/>
      <c r="E52" s="64"/>
      <c r="F52" s="60"/>
    </row>
    <row r="53" spans="1:6" ht="16" x14ac:dyDescent="0.35">
      <c r="A53" s="67" t="s">
        <v>75</v>
      </c>
      <c r="B53" s="78">
        <v>0.56000000000000005</v>
      </c>
      <c r="C53" s="64"/>
      <c r="D53" s="64"/>
      <c r="E53" s="64"/>
      <c r="F53" s="60"/>
    </row>
    <row r="54" spans="1:6" ht="16" x14ac:dyDescent="0.35">
      <c r="A54" s="67" t="s">
        <v>76</v>
      </c>
      <c r="B54" s="78">
        <v>1.23</v>
      </c>
      <c r="C54" s="64"/>
      <c r="D54" s="64"/>
      <c r="E54" s="64"/>
      <c r="F54" s="60"/>
    </row>
    <row r="55" spans="1:6" x14ac:dyDescent="0.35">
      <c r="A55" s="65"/>
      <c r="B55" s="72"/>
      <c r="C55" s="64"/>
      <c r="D55" s="64"/>
      <c r="E55" s="64"/>
      <c r="F55" s="60"/>
    </row>
    <row r="56" spans="1:6" ht="68.25" customHeight="1" x14ac:dyDescent="0.35">
      <c r="A56" s="537" t="s">
        <v>53</v>
      </c>
      <c r="B56" s="538"/>
      <c r="C56" s="64"/>
      <c r="D56" s="64"/>
      <c r="E56" s="64"/>
      <c r="F56" s="60"/>
    </row>
    <row r="57" spans="1:6" ht="72" customHeight="1" x14ac:dyDescent="0.35">
      <c r="A57" s="539" t="s">
        <v>54</v>
      </c>
      <c r="B57" s="540"/>
      <c r="C57" s="64"/>
      <c r="D57" s="64"/>
      <c r="E57" s="64"/>
      <c r="F57" s="60"/>
    </row>
    <row r="58" spans="1:6" x14ac:dyDescent="0.35">
      <c r="A58" s="5" t="s">
        <v>203</v>
      </c>
      <c r="B58" s="64"/>
      <c r="C58" s="64"/>
      <c r="D58" s="64"/>
      <c r="E58" s="64"/>
      <c r="F58" s="60"/>
    </row>
    <row r="59" spans="1:6" x14ac:dyDescent="0.35">
      <c r="A59" s="63" t="s">
        <v>263</v>
      </c>
      <c r="B59" s="64"/>
      <c r="C59" s="64"/>
      <c r="D59" s="64"/>
      <c r="E59" s="64"/>
      <c r="F59" s="60"/>
    </row>
    <row r="60" spans="1:6" x14ac:dyDescent="0.35">
      <c r="A60" s="79"/>
      <c r="B60" s="545" t="s">
        <v>332</v>
      </c>
      <c r="C60" s="546"/>
      <c r="D60" s="169"/>
      <c r="E60" s="64"/>
      <c r="F60" s="60"/>
    </row>
    <row r="61" spans="1:6" ht="16" x14ac:dyDescent="0.35">
      <c r="A61" s="79" t="s">
        <v>265</v>
      </c>
      <c r="B61" s="79" t="s">
        <v>275</v>
      </c>
      <c r="C61" s="79" t="s">
        <v>318</v>
      </c>
      <c r="D61" s="169"/>
      <c r="E61" s="64"/>
      <c r="F61" s="60"/>
    </row>
    <row r="62" spans="1:6" x14ac:dyDescent="0.35">
      <c r="A62" s="122" t="s">
        <v>266</v>
      </c>
      <c r="B62" s="122"/>
      <c r="C62" s="168"/>
      <c r="D62" s="65"/>
      <c r="E62" s="64"/>
      <c r="F62" s="60"/>
    </row>
    <row r="63" spans="1:6" x14ac:dyDescent="0.35">
      <c r="A63" s="67" t="s">
        <v>267</v>
      </c>
      <c r="B63" s="120">
        <v>259</v>
      </c>
      <c r="C63" s="120">
        <v>799</v>
      </c>
      <c r="D63" s="170"/>
      <c r="E63" s="64"/>
      <c r="F63" s="60"/>
    </row>
    <row r="64" spans="1:6" x14ac:dyDescent="0.35">
      <c r="A64" s="67" t="s">
        <v>268</v>
      </c>
      <c r="B64" s="120">
        <v>281</v>
      </c>
      <c r="C64" s="120">
        <v>109</v>
      </c>
      <c r="D64" s="170"/>
      <c r="E64" s="64"/>
      <c r="F64" s="60"/>
    </row>
    <row r="65" spans="1:6" x14ac:dyDescent="0.35">
      <c r="A65" s="67" t="s">
        <v>269</v>
      </c>
      <c r="B65" s="120">
        <v>723</v>
      </c>
      <c r="C65" s="120">
        <v>109</v>
      </c>
      <c r="D65" s="170"/>
      <c r="E65" s="64"/>
      <c r="F65" s="60"/>
    </row>
    <row r="66" spans="1:6" x14ac:dyDescent="0.35">
      <c r="A66" s="67" t="s">
        <v>270</v>
      </c>
      <c r="B66" s="120">
        <v>327</v>
      </c>
      <c r="C66" s="120">
        <v>109</v>
      </c>
      <c r="D66" s="170"/>
      <c r="E66" s="64"/>
      <c r="F66" s="60"/>
    </row>
    <row r="67" spans="1:6" x14ac:dyDescent="0.35">
      <c r="A67" s="122" t="s">
        <v>271</v>
      </c>
      <c r="B67" s="122"/>
      <c r="C67" s="168"/>
      <c r="D67" s="65"/>
      <c r="E67" s="64"/>
      <c r="F67" s="60"/>
    </row>
    <row r="68" spans="1:6" x14ac:dyDescent="0.35">
      <c r="A68" s="67" t="s">
        <v>267</v>
      </c>
      <c r="B68" s="120">
        <v>655</v>
      </c>
      <c r="C68" s="120">
        <v>2356</v>
      </c>
      <c r="D68" s="170"/>
      <c r="E68" s="64"/>
      <c r="F68" s="60"/>
    </row>
    <row r="69" spans="1:6" x14ac:dyDescent="0.35">
      <c r="A69" s="67" t="s">
        <v>268</v>
      </c>
      <c r="B69" s="120">
        <v>642</v>
      </c>
      <c r="C69" s="120">
        <v>780</v>
      </c>
      <c r="D69" s="170"/>
      <c r="E69" s="64"/>
      <c r="F69" s="60"/>
    </row>
    <row r="70" spans="1:6" x14ac:dyDescent="0.35">
      <c r="A70" s="67" t="s">
        <v>269</v>
      </c>
      <c r="B70" s="120">
        <v>1084</v>
      </c>
      <c r="C70" s="120">
        <v>780</v>
      </c>
      <c r="D70" s="170"/>
      <c r="E70" s="64"/>
      <c r="F70" s="60"/>
    </row>
    <row r="71" spans="1:6" x14ac:dyDescent="0.35">
      <c r="A71" s="67" t="s">
        <v>270</v>
      </c>
      <c r="B71" s="120">
        <v>688</v>
      </c>
      <c r="C71" s="120">
        <v>780</v>
      </c>
      <c r="D71" s="170"/>
      <c r="E71" s="64"/>
      <c r="F71" s="60"/>
    </row>
    <row r="72" spans="1:6" x14ac:dyDescent="0.35">
      <c r="A72" s="122" t="s">
        <v>272</v>
      </c>
      <c r="B72" s="122"/>
      <c r="C72" s="168"/>
      <c r="D72" s="65"/>
      <c r="E72" s="64"/>
      <c r="F72" s="60"/>
    </row>
    <row r="73" spans="1:6" x14ac:dyDescent="0.35">
      <c r="A73" s="67" t="s">
        <v>273</v>
      </c>
      <c r="B73" s="70">
        <v>1.0900000000000001</v>
      </c>
      <c r="C73" s="121" t="s">
        <v>100</v>
      </c>
      <c r="D73" s="171"/>
      <c r="E73" s="64"/>
      <c r="F73" s="60"/>
    </row>
    <row r="74" spans="1:6" ht="28" customHeight="1" x14ac:dyDescent="0.35">
      <c r="A74" s="547" t="s">
        <v>320</v>
      </c>
      <c r="B74" s="547"/>
      <c r="C74" s="548"/>
      <c r="D74" s="172"/>
      <c r="E74" s="64"/>
      <c r="F74" s="60"/>
    </row>
    <row r="75" spans="1:6" ht="66.75" customHeight="1" x14ac:dyDescent="0.35">
      <c r="A75" s="549" t="s">
        <v>319</v>
      </c>
      <c r="B75" s="549"/>
      <c r="C75" s="540"/>
      <c r="D75" s="172"/>
      <c r="E75" s="64"/>
      <c r="F75" s="60"/>
    </row>
    <row r="76" spans="1:6" x14ac:dyDescent="0.35">
      <c r="A76" s="5" t="s">
        <v>203</v>
      </c>
      <c r="B76" s="64"/>
      <c r="C76" s="64"/>
      <c r="D76" s="64"/>
      <c r="E76" s="64"/>
      <c r="F76" s="60"/>
    </row>
    <row r="77" spans="1:6" x14ac:dyDescent="0.35">
      <c r="A77" s="63" t="s">
        <v>56</v>
      </c>
      <c r="B77" s="64"/>
      <c r="C77" s="64"/>
      <c r="D77" s="64"/>
      <c r="E77" s="64"/>
      <c r="F77" s="60"/>
    </row>
    <row r="78" spans="1:6" ht="17" x14ac:dyDescent="0.35">
      <c r="A78" s="79" t="s">
        <v>55</v>
      </c>
      <c r="B78" s="76" t="s">
        <v>205</v>
      </c>
      <c r="C78" s="76" t="s">
        <v>206</v>
      </c>
      <c r="D78" s="76" t="s">
        <v>207</v>
      </c>
      <c r="E78" s="173"/>
      <c r="F78" s="60"/>
    </row>
    <row r="79" spans="1:6" x14ac:dyDescent="0.35">
      <c r="A79" s="67">
        <v>2025</v>
      </c>
      <c r="B79" s="68">
        <v>21600</v>
      </c>
      <c r="C79" s="68">
        <v>59000</v>
      </c>
      <c r="D79" s="68">
        <v>1054000</v>
      </c>
      <c r="E79" s="174"/>
      <c r="F79" s="60"/>
    </row>
    <row r="80" spans="1:6" x14ac:dyDescent="0.35">
      <c r="A80" s="67">
        <v>2026</v>
      </c>
      <c r="B80" s="68">
        <v>22000</v>
      </c>
      <c r="C80" s="68">
        <v>60100</v>
      </c>
      <c r="D80" s="68">
        <v>1070700</v>
      </c>
      <c r="E80" s="174"/>
      <c r="F80" s="60"/>
    </row>
    <row r="81" spans="1:6" x14ac:dyDescent="0.35">
      <c r="A81" s="67">
        <v>2027</v>
      </c>
      <c r="B81" s="68">
        <v>22500</v>
      </c>
      <c r="C81" s="68">
        <v>61100</v>
      </c>
      <c r="D81" s="68">
        <v>1087800</v>
      </c>
      <c r="E81" s="174"/>
      <c r="F81" s="60"/>
    </row>
    <row r="82" spans="1:6" x14ac:dyDescent="0.35">
      <c r="A82" s="67">
        <v>2028</v>
      </c>
      <c r="B82" s="68">
        <v>22900</v>
      </c>
      <c r="C82" s="68">
        <v>62200</v>
      </c>
      <c r="D82" s="68">
        <v>1105100</v>
      </c>
      <c r="E82" s="174"/>
      <c r="F82" s="60"/>
    </row>
    <row r="83" spans="1:6" x14ac:dyDescent="0.35">
      <c r="A83" s="67">
        <v>2029</v>
      </c>
      <c r="B83" s="68">
        <v>23300</v>
      </c>
      <c r="C83" s="68">
        <v>63400</v>
      </c>
      <c r="D83" s="68">
        <v>1122600</v>
      </c>
      <c r="E83" s="174"/>
      <c r="F83" s="60"/>
    </row>
    <row r="84" spans="1:6" x14ac:dyDescent="0.35">
      <c r="A84" s="67">
        <v>2030</v>
      </c>
      <c r="B84" s="68">
        <v>23800</v>
      </c>
      <c r="C84" s="68">
        <v>64500</v>
      </c>
      <c r="D84" s="68">
        <v>1140500</v>
      </c>
      <c r="E84" s="174"/>
      <c r="F84" s="60"/>
    </row>
    <row r="85" spans="1:6" x14ac:dyDescent="0.35">
      <c r="A85" s="67">
        <v>2031</v>
      </c>
      <c r="B85" s="68">
        <v>23800</v>
      </c>
      <c r="C85" s="68">
        <v>64500</v>
      </c>
      <c r="D85" s="68">
        <v>1140500</v>
      </c>
      <c r="E85" s="174"/>
      <c r="F85" s="60"/>
    </row>
    <row r="86" spans="1:6" x14ac:dyDescent="0.35">
      <c r="A86" s="67">
        <v>2032</v>
      </c>
      <c r="B86" s="68">
        <v>23800</v>
      </c>
      <c r="C86" s="68">
        <v>64500</v>
      </c>
      <c r="D86" s="68">
        <v>1140500</v>
      </c>
      <c r="E86" s="174"/>
      <c r="F86" s="60"/>
    </row>
    <row r="87" spans="1:6" x14ac:dyDescent="0.35">
      <c r="A87" s="67">
        <v>2033</v>
      </c>
      <c r="B87" s="68">
        <v>23800</v>
      </c>
      <c r="C87" s="68">
        <v>64500</v>
      </c>
      <c r="D87" s="68">
        <v>1140500</v>
      </c>
      <c r="E87" s="174"/>
      <c r="F87" s="60"/>
    </row>
    <row r="88" spans="1:6" x14ac:dyDescent="0.35">
      <c r="A88" s="67">
        <v>2034</v>
      </c>
      <c r="B88" s="68">
        <v>23800</v>
      </c>
      <c r="C88" s="68">
        <v>64500</v>
      </c>
      <c r="D88" s="68">
        <v>1140500</v>
      </c>
      <c r="E88" s="174"/>
      <c r="F88" s="60"/>
    </row>
    <row r="89" spans="1:6" x14ac:dyDescent="0.35">
      <c r="A89" s="67">
        <v>2035</v>
      </c>
      <c r="B89" s="68">
        <v>23800</v>
      </c>
      <c r="C89" s="68">
        <v>64500</v>
      </c>
      <c r="D89" s="68">
        <v>1140500</v>
      </c>
      <c r="E89" s="174"/>
      <c r="F89" s="60"/>
    </row>
    <row r="90" spans="1:6" x14ac:dyDescent="0.35">
      <c r="A90" s="67">
        <v>2036</v>
      </c>
      <c r="B90" s="68">
        <v>23800</v>
      </c>
      <c r="C90" s="68">
        <v>64500</v>
      </c>
      <c r="D90" s="68">
        <v>1140500</v>
      </c>
      <c r="E90" s="174"/>
      <c r="F90" s="60"/>
    </row>
    <row r="91" spans="1:6" x14ac:dyDescent="0.35">
      <c r="A91" s="67">
        <v>2037</v>
      </c>
      <c r="B91" s="68">
        <v>23800</v>
      </c>
      <c r="C91" s="68">
        <v>64500</v>
      </c>
      <c r="D91" s="68">
        <v>1140500</v>
      </c>
      <c r="E91" s="174"/>
      <c r="F91" s="60"/>
    </row>
    <row r="92" spans="1:6" x14ac:dyDescent="0.35">
      <c r="A92" s="67">
        <v>2038</v>
      </c>
      <c r="B92" s="68">
        <v>23800</v>
      </c>
      <c r="C92" s="68">
        <v>64500</v>
      </c>
      <c r="D92" s="68">
        <v>1140500</v>
      </c>
      <c r="E92" s="174"/>
      <c r="F92" s="60"/>
    </row>
    <row r="93" spans="1:6" x14ac:dyDescent="0.35">
      <c r="A93" s="67">
        <v>2039</v>
      </c>
      <c r="B93" s="68">
        <v>23800</v>
      </c>
      <c r="C93" s="68">
        <v>64500</v>
      </c>
      <c r="D93" s="68">
        <v>1140500</v>
      </c>
      <c r="E93" s="174"/>
      <c r="F93" s="60"/>
    </row>
    <row r="94" spans="1:6" x14ac:dyDescent="0.35">
      <c r="A94" s="67">
        <v>2040</v>
      </c>
      <c r="B94" s="68">
        <v>23800</v>
      </c>
      <c r="C94" s="68">
        <v>64500</v>
      </c>
      <c r="D94" s="68">
        <v>1140500</v>
      </c>
      <c r="E94" s="174"/>
      <c r="F94" s="60"/>
    </row>
    <row r="95" spans="1:6" x14ac:dyDescent="0.35">
      <c r="A95" s="67">
        <v>2041</v>
      </c>
      <c r="B95" s="68">
        <v>23800</v>
      </c>
      <c r="C95" s="68">
        <v>64500</v>
      </c>
      <c r="D95" s="68">
        <v>1140500</v>
      </c>
      <c r="E95" s="174"/>
      <c r="F95" s="60"/>
    </row>
    <row r="96" spans="1:6" x14ac:dyDescent="0.35">
      <c r="A96" s="67">
        <v>2042</v>
      </c>
      <c r="B96" s="68">
        <v>23800</v>
      </c>
      <c r="C96" s="68">
        <v>64500</v>
      </c>
      <c r="D96" s="68">
        <v>1140500</v>
      </c>
      <c r="E96" s="174"/>
      <c r="F96" s="60"/>
    </row>
    <row r="97" spans="1:6" x14ac:dyDescent="0.35">
      <c r="A97" s="67">
        <v>2043</v>
      </c>
      <c r="B97" s="68">
        <v>23800</v>
      </c>
      <c r="C97" s="68">
        <v>64500</v>
      </c>
      <c r="D97" s="68">
        <v>1140500</v>
      </c>
      <c r="E97" s="174"/>
      <c r="F97" s="60"/>
    </row>
    <row r="98" spans="1:6" x14ac:dyDescent="0.35">
      <c r="A98" s="67">
        <v>2044</v>
      </c>
      <c r="B98" s="68">
        <v>23800</v>
      </c>
      <c r="C98" s="68">
        <v>64500</v>
      </c>
      <c r="D98" s="68">
        <v>1140500</v>
      </c>
      <c r="E98" s="174"/>
      <c r="F98" s="60"/>
    </row>
    <row r="99" spans="1:6" x14ac:dyDescent="0.35">
      <c r="A99" s="67">
        <v>2045</v>
      </c>
      <c r="B99" s="68">
        <v>23800</v>
      </c>
      <c r="C99" s="68">
        <v>64500</v>
      </c>
      <c r="D99" s="68">
        <v>1140500</v>
      </c>
      <c r="E99" s="174"/>
      <c r="F99" s="60"/>
    </row>
    <row r="100" spans="1:6" x14ac:dyDescent="0.35">
      <c r="A100" s="67">
        <v>2046</v>
      </c>
      <c r="B100" s="68">
        <v>23800</v>
      </c>
      <c r="C100" s="68">
        <v>64500</v>
      </c>
      <c r="D100" s="68">
        <v>1140500</v>
      </c>
      <c r="E100" s="174"/>
      <c r="F100" s="60"/>
    </row>
    <row r="101" spans="1:6" x14ac:dyDescent="0.35">
      <c r="A101" s="67">
        <v>2047</v>
      </c>
      <c r="B101" s="68">
        <v>23800</v>
      </c>
      <c r="C101" s="68">
        <v>64500</v>
      </c>
      <c r="D101" s="68">
        <v>1140500</v>
      </c>
      <c r="E101" s="174"/>
      <c r="F101" s="60"/>
    </row>
    <row r="102" spans="1:6" x14ac:dyDescent="0.35">
      <c r="A102" s="67">
        <v>2048</v>
      </c>
      <c r="B102" s="68">
        <v>23800</v>
      </c>
      <c r="C102" s="68">
        <v>64500</v>
      </c>
      <c r="D102" s="68">
        <v>1140500</v>
      </c>
      <c r="E102" s="174"/>
      <c r="F102" s="60"/>
    </row>
    <row r="103" spans="1:6" x14ac:dyDescent="0.35">
      <c r="A103" s="67">
        <v>2049</v>
      </c>
      <c r="B103" s="68">
        <v>23800</v>
      </c>
      <c r="C103" s="68">
        <v>64500</v>
      </c>
      <c r="D103" s="68">
        <v>1140500</v>
      </c>
      <c r="E103" s="174"/>
      <c r="F103" s="60"/>
    </row>
    <row r="104" spans="1:6" x14ac:dyDescent="0.35">
      <c r="A104" s="67">
        <v>2050</v>
      </c>
      <c r="B104" s="68">
        <v>23800</v>
      </c>
      <c r="C104" s="68">
        <v>64500</v>
      </c>
      <c r="D104" s="68">
        <v>1140500</v>
      </c>
      <c r="E104" s="174"/>
      <c r="F104" s="60"/>
    </row>
    <row r="105" spans="1:6" x14ac:dyDescent="0.35">
      <c r="A105" s="67">
        <v>2051</v>
      </c>
      <c r="B105" s="68">
        <v>23800</v>
      </c>
      <c r="C105" s="68">
        <v>64500</v>
      </c>
      <c r="D105" s="68">
        <v>1140500</v>
      </c>
      <c r="E105" s="174"/>
      <c r="F105" s="60"/>
    </row>
    <row r="106" spans="1:6" x14ac:dyDescent="0.35">
      <c r="A106" s="67">
        <v>2052</v>
      </c>
      <c r="B106" s="68">
        <v>23800</v>
      </c>
      <c r="C106" s="68">
        <v>64500</v>
      </c>
      <c r="D106" s="68">
        <v>1140500</v>
      </c>
      <c r="E106" s="174"/>
      <c r="F106" s="60"/>
    </row>
    <row r="107" spans="1:6" x14ac:dyDescent="0.35">
      <c r="A107" s="67">
        <v>2053</v>
      </c>
      <c r="B107" s="68">
        <v>23800</v>
      </c>
      <c r="C107" s="68">
        <v>64500</v>
      </c>
      <c r="D107" s="68">
        <v>1140500</v>
      </c>
      <c r="E107" s="174"/>
      <c r="F107" s="60"/>
    </row>
    <row r="108" spans="1:6" x14ac:dyDescent="0.35">
      <c r="A108" s="67">
        <v>2054</v>
      </c>
      <c r="B108" s="68">
        <v>23800</v>
      </c>
      <c r="C108" s="68">
        <v>64500</v>
      </c>
      <c r="D108" s="68">
        <v>1140500</v>
      </c>
      <c r="E108" s="174"/>
      <c r="F108" s="60"/>
    </row>
    <row r="109" spans="1:6" x14ac:dyDescent="0.35">
      <c r="A109" s="67">
        <v>2055</v>
      </c>
      <c r="B109" s="68">
        <v>23800</v>
      </c>
      <c r="C109" s="68">
        <v>64500</v>
      </c>
      <c r="D109" s="68">
        <v>1140500</v>
      </c>
      <c r="E109" s="174"/>
      <c r="F109" s="60"/>
    </row>
    <row r="110" spans="1:6" x14ac:dyDescent="0.35">
      <c r="A110" s="80"/>
      <c r="B110" s="81"/>
      <c r="C110" s="81"/>
      <c r="D110" s="82"/>
      <c r="E110" s="174"/>
      <c r="F110" s="60"/>
    </row>
    <row r="111" spans="1:6" ht="27.75" customHeight="1" x14ac:dyDescent="0.35">
      <c r="A111" s="537" t="s">
        <v>264</v>
      </c>
      <c r="B111" s="550"/>
      <c r="C111" s="550"/>
      <c r="D111" s="538"/>
      <c r="E111" s="175"/>
      <c r="F111" s="60"/>
    </row>
    <row r="112" spans="1:6" ht="17" x14ac:dyDescent="0.35">
      <c r="A112" s="551" t="s">
        <v>77</v>
      </c>
      <c r="B112" s="552"/>
      <c r="C112" s="552"/>
      <c r="D112" s="553"/>
      <c r="E112" s="175"/>
      <c r="F112" s="60"/>
    </row>
    <row r="113" spans="1:6" x14ac:dyDescent="0.35">
      <c r="A113" s="5" t="s">
        <v>203</v>
      </c>
      <c r="B113" s="64"/>
      <c r="C113" s="64"/>
      <c r="D113" s="64"/>
      <c r="E113" s="64"/>
      <c r="F113" s="60"/>
    </row>
    <row r="114" spans="1:6" x14ac:dyDescent="0.35">
      <c r="A114" s="63" t="s">
        <v>57</v>
      </c>
      <c r="B114" s="64"/>
      <c r="C114" s="64"/>
      <c r="D114" s="64"/>
      <c r="E114" s="64"/>
      <c r="F114" s="60"/>
    </row>
    <row r="115" spans="1:6" ht="34.5" customHeight="1" x14ac:dyDescent="0.35">
      <c r="A115" s="75" t="s">
        <v>58</v>
      </c>
      <c r="B115" s="76" t="s">
        <v>333</v>
      </c>
      <c r="C115" s="64"/>
      <c r="D115" s="64"/>
      <c r="E115" s="64"/>
      <c r="F115" s="60"/>
    </row>
    <row r="116" spans="1:6" x14ac:dyDescent="0.35">
      <c r="A116" s="83">
        <v>2005</v>
      </c>
      <c r="B116" s="77">
        <v>1.54</v>
      </c>
      <c r="C116" s="64"/>
      <c r="D116" s="64"/>
      <c r="E116" s="64"/>
      <c r="F116" s="60"/>
    </row>
    <row r="117" spans="1:6" x14ac:dyDescent="0.35">
      <c r="A117" s="83">
        <v>2006</v>
      </c>
      <c r="B117" s="77">
        <v>1.49</v>
      </c>
      <c r="C117" s="64"/>
      <c r="D117" s="64"/>
      <c r="E117" s="64"/>
      <c r="F117" s="60"/>
    </row>
    <row r="118" spans="1:6" x14ac:dyDescent="0.35">
      <c r="A118" s="83">
        <v>2007</v>
      </c>
      <c r="B118" s="77">
        <v>1.45</v>
      </c>
      <c r="C118" s="64"/>
      <c r="D118" s="64"/>
      <c r="E118" s="64"/>
      <c r="F118" s="60"/>
    </row>
    <row r="119" spans="1:6" x14ac:dyDescent="0.35">
      <c r="A119" s="83">
        <v>2008</v>
      </c>
      <c r="B119" s="77">
        <v>1.43</v>
      </c>
      <c r="C119" s="64"/>
      <c r="D119" s="64"/>
      <c r="E119" s="64"/>
      <c r="F119" s="60"/>
    </row>
    <row r="120" spans="1:6" x14ac:dyDescent="0.35">
      <c r="A120" s="83">
        <v>2009</v>
      </c>
      <c r="B120" s="77">
        <v>1.42</v>
      </c>
      <c r="C120" s="64"/>
      <c r="D120" s="64"/>
      <c r="E120" s="64"/>
      <c r="F120" s="60"/>
    </row>
    <row r="121" spans="1:6" x14ac:dyDescent="0.35">
      <c r="A121" s="83">
        <v>2010</v>
      </c>
      <c r="B121" s="77">
        <v>1.4</v>
      </c>
      <c r="C121" s="64"/>
      <c r="D121" s="64"/>
      <c r="E121" s="64"/>
      <c r="F121" s="60"/>
    </row>
    <row r="122" spans="1:6" x14ac:dyDescent="0.35">
      <c r="A122" s="83">
        <v>2011</v>
      </c>
      <c r="B122" s="77">
        <v>1.37</v>
      </c>
      <c r="C122" s="64"/>
      <c r="D122" s="64"/>
      <c r="E122" s="64"/>
      <c r="F122" s="60"/>
    </row>
    <row r="123" spans="1:6" x14ac:dyDescent="0.35">
      <c r="A123" s="83">
        <v>2012</v>
      </c>
      <c r="B123" s="77">
        <v>1.35</v>
      </c>
      <c r="C123" s="64"/>
      <c r="D123" s="64"/>
      <c r="E123" s="64"/>
      <c r="F123" s="60"/>
    </row>
    <row r="124" spans="1:6" x14ac:dyDescent="0.35">
      <c r="A124" s="83">
        <v>2013</v>
      </c>
      <c r="B124" s="77">
        <v>1.32</v>
      </c>
      <c r="C124" s="64"/>
      <c r="D124" s="64"/>
      <c r="E124" s="64"/>
      <c r="F124" s="60"/>
    </row>
    <row r="125" spans="1:6" x14ac:dyDescent="0.35">
      <c r="A125" s="83">
        <v>2014</v>
      </c>
      <c r="B125" s="77">
        <v>1.3</v>
      </c>
      <c r="C125" s="64"/>
      <c r="D125" s="64"/>
      <c r="E125" s="64"/>
      <c r="F125" s="60"/>
    </row>
    <row r="126" spans="1:6" x14ac:dyDescent="0.35">
      <c r="A126" s="83">
        <v>2015</v>
      </c>
      <c r="B126" s="77">
        <v>1.29</v>
      </c>
      <c r="C126" s="64"/>
      <c r="D126" s="64"/>
      <c r="E126" s="64"/>
      <c r="F126" s="60"/>
    </row>
    <row r="127" spans="1:6" x14ac:dyDescent="0.35">
      <c r="A127" s="83">
        <v>2016</v>
      </c>
      <c r="B127" s="77">
        <v>1.28</v>
      </c>
      <c r="C127" s="64"/>
      <c r="D127" s="64"/>
      <c r="E127" s="64"/>
      <c r="F127" s="60"/>
    </row>
    <row r="128" spans="1:6" x14ac:dyDescent="0.35">
      <c r="A128" s="83">
        <v>2017</v>
      </c>
      <c r="B128" s="77">
        <v>1.25</v>
      </c>
      <c r="C128" s="64"/>
      <c r="D128" s="64"/>
      <c r="E128" s="64"/>
      <c r="F128" s="60"/>
    </row>
    <row r="129" spans="1:6" x14ac:dyDescent="0.35">
      <c r="A129" s="83">
        <v>2018</v>
      </c>
      <c r="B129" s="77">
        <v>1.23</v>
      </c>
      <c r="C129" s="64"/>
      <c r="D129" s="64"/>
      <c r="E129" s="64"/>
      <c r="F129" s="60"/>
    </row>
    <row r="130" spans="1:6" x14ac:dyDescent="0.35">
      <c r="A130" s="83">
        <v>2019</v>
      </c>
      <c r="B130" s="77">
        <v>1.21</v>
      </c>
      <c r="C130" s="64"/>
      <c r="D130" s="64"/>
      <c r="E130" s="64"/>
      <c r="F130" s="60"/>
    </row>
    <row r="131" spans="1:6" x14ac:dyDescent="0.35">
      <c r="A131" s="83">
        <v>2020</v>
      </c>
      <c r="B131" s="77">
        <v>1.19</v>
      </c>
      <c r="C131" s="64"/>
      <c r="D131" s="64"/>
      <c r="E131" s="64"/>
      <c r="F131" s="60"/>
    </row>
    <row r="132" spans="1:6" x14ac:dyDescent="0.35">
      <c r="A132" s="83">
        <v>2021</v>
      </c>
      <c r="B132" s="77">
        <v>1.1399999999999999</v>
      </c>
      <c r="C132" s="64"/>
      <c r="D132" s="64"/>
      <c r="E132" s="64"/>
      <c r="F132" s="60"/>
    </row>
    <row r="133" spans="1:6" x14ac:dyDescent="0.35">
      <c r="A133" s="83">
        <v>2022</v>
      </c>
      <c r="B133" s="77">
        <v>1.06</v>
      </c>
      <c r="C133" s="64"/>
      <c r="D133" s="64"/>
      <c r="E133" s="64"/>
      <c r="F133" s="60"/>
    </row>
    <row r="134" spans="1:6" x14ac:dyDescent="0.35">
      <c r="A134" s="83">
        <v>2023</v>
      </c>
      <c r="B134" s="77">
        <v>1.02</v>
      </c>
      <c r="C134" s="64"/>
      <c r="D134" s="64"/>
      <c r="E134" s="64"/>
      <c r="F134" s="60"/>
    </row>
    <row r="135" spans="1:6" x14ac:dyDescent="0.35">
      <c r="A135" s="83">
        <v>2024</v>
      </c>
      <c r="B135" s="77">
        <v>1</v>
      </c>
      <c r="C135" s="64"/>
      <c r="D135" s="64"/>
      <c r="E135" s="64"/>
      <c r="F135" s="60"/>
    </row>
    <row r="136" spans="1:6" x14ac:dyDescent="0.35">
      <c r="A136" s="5" t="s">
        <v>203</v>
      </c>
      <c r="B136" s="64"/>
      <c r="C136" s="64"/>
      <c r="D136" s="64"/>
      <c r="E136" s="64"/>
      <c r="F136" s="60"/>
    </row>
    <row r="137" spans="1:6" x14ac:dyDescent="0.35">
      <c r="A137" s="63" t="s">
        <v>59</v>
      </c>
      <c r="B137" s="64"/>
      <c r="C137" s="64"/>
      <c r="D137" s="64"/>
      <c r="E137" s="64"/>
      <c r="F137" s="60"/>
    </row>
    <row r="138" spans="1:6" ht="51.75" customHeight="1" x14ac:dyDescent="0.35">
      <c r="A138" s="75" t="s">
        <v>60</v>
      </c>
      <c r="B138" s="76" t="s">
        <v>334</v>
      </c>
      <c r="C138" s="64"/>
      <c r="D138" s="64"/>
      <c r="E138" s="64"/>
      <c r="F138" s="60"/>
    </row>
    <row r="139" spans="1:6" ht="16" x14ac:dyDescent="0.35">
      <c r="A139" s="84" t="s">
        <v>78</v>
      </c>
      <c r="B139" s="70">
        <v>0.13</v>
      </c>
      <c r="C139" s="64"/>
      <c r="D139" s="64"/>
      <c r="E139" s="64"/>
      <c r="F139" s="60"/>
    </row>
    <row r="140" spans="1:6" x14ac:dyDescent="0.35">
      <c r="A140" s="84" t="s">
        <v>61</v>
      </c>
      <c r="B140" s="70">
        <v>1.24</v>
      </c>
      <c r="C140" s="64"/>
      <c r="D140" s="64"/>
      <c r="E140" s="64"/>
      <c r="F140" s="60"/>
    </row>
    <row r="141" spans="1:6" x14ac:dyDescent="0.35">
      <c r="A141" s="84" t="s">
        <v>79</v>
      </c>
      <c r="B141" s="70">
        <v>0.1</v>
      </c>
      <c r="C141" s="64"/>
      <c r="D141" s="64"/>
      <c r="E141" s="64"/>
      <c r="F141" s="60"/>
    </row>
    <row r="142" spans="1:6" ht="30" customHeight="1" x14ac:dyDescent="0.35">
      <c r="A142" s="85" t="s">
        <v>62</v>
      </c>
      <c r="B142" s="86">
        <v>1.1000000000000001E-3</v>
      </c>
      <c r="C142" s="64"/>
      <c r="D142" s="64"/>
      <c r="E142" s="64"/>
      <c r="F142" s="60"/>
    </row>
    <row r="143" spans="1:6" x14ac:dyDescent="0.35">
      <c r="A143" s="5" t="s">
        <v>203</v>
      </c>
      <c r="B143" s="4"/>
      <c r="C143" s="64"/>
      <c r="D143" s="64"/>
      <c r="E143" s="64"/>
      <c r="F143" s="60"/>
    </row>
    <row r="144" spans="1:6" ht="30" x14ac:dyDescent="0.35">
      <c r="A144" s="75" t="s">
        <v>60</v>
      </c>
      <c r="B144" s="76" t="s">
        <v>335</v>
      </c>
      <c r="C144" s="64"/>
      <c r="D144" s="64"/>
      <c r="E144" s="64"/>
      <c r="F144" s="60"/>
    </row>
    <row r="145" spans="1:6" ht="34.5" customHeight="1" x14ac:dyDescent="0.35">
      <c r="A145" s="85" t="s">
        <v>80</v>
      </c>
      <c r="B145" s="70">
        <v>0.22</v>
      </c>
      <c r="C145" s="64"/>
      <c r="D145" s="64"/>
      <c r="E145" s="64"/>
      <c r="F145" s="60"/>
    </row>
    <row r="146" spans="1:6" ht="35.25" customHeight="1" x14ac:dyDescent="0.35">
      <c r="A146" s="85" t="s">
        <v>63</v>
      </c>
      <c r="B146" s="70">
        <v>0.56999999999999995</v>
      </c>
      <c r="C146" s="64"/>
      <c r="D146" s="64"/>
      <c r="E146" s="64"/>
      <c r="F146" s="60"/>
    </row>
    <row r="147" spans="1:6" x14ac:dyDescent="0.35">
      <c r="A147" s="183"/>
      <c r="B147" s="184"/>
      <c r="C147" s="64"/>
      <c r="D147" s="64"/>
      <c r="E147" s="64"/>
      <c r="F147" s="60"/>
    </row>
    <row r="148" spans="1:6" ht="111" customHeight="1" x14ac:dyDescent="0.35">
      <c r="A148" s="537" t="s">
        <v>64</v>
      </c>
      <c r="B148" s="538"/>
      <c r="C148" s="64"/>
      <c r="D148" s="64"/>
      <c r="E148" s="64"/>
      <c r="F148" s="60"/>
    </row>
    <row r="149" spans="1:6" ht="36" customHeight="1" x14ac:dyDescent="0.35">
      <c r="A149" s="539" t="s">
        <v>65</v>
      </c>
      <c r="B149" s="540"/>
      <c r="C149" s="64"/>
      <c r="D149" s="64"/>
      <c r="E149" s="64"/>
      <c r="F149" s="60"/>
    </row>
    <row r="150" spans="1:6" x14ac:dyDescent="0.35">
      <c r="A150" s="5" t="s">
        <v>203</v>
      </c>
      <c r="B150" s="64"/>
      <c r="C150" s="64"/>
      <c r="D150" s="64"/>
      <c r="E150" s="64"/>
      <c r="F150" s="60"/>
    </row>
    <row r="151" spans="1:6" x14ac:dyDescent="0.35">
      <c r="A151" s="63" t="s">
        <v>66</v>
      </c>
      <c r="B151" s="64"/>
      <c r="C151" s="64"/>
      <c r="D151" s="64"/>
      <c r="E151" s="64"/>
      <c r="F151" s="60"/>
    </row>
    <row r="152" spans="1:6" ht="36.75" customHeight="1" x14ac:dyDescent="0.35">
      <c r="A152" s="75" t="s">
        <v>67</v>
      </c>
      <c r="B152" s="76" t="s">
        <v>336</v>
      </c>
      <c r="C152" s="64"/>
      <c r="D152" s="64"/>
      <c r="E152" s="64"/>
      <c r="F152" s="60"/>
    </row>
    <row r="153" spans="1:6" x14ac:dyDescent="0.35">
      <c r="A153" s="67" t="s">
        <v>68</v>
      </c>
      <c r="B153" s="78">
        <v>1.76</v>
      </c>
      <c r="C153" s="64"/>
      <c r="D153" s="64"/>
      <c r="E153" s="64"/>
      <c r="F153" s="60"/>
    </row>
    <row r="154" spans="1:6" ht="16" x14ac:dyDescent="0.35">
      <c r="A154" s="67" t="s">
        <v>72</v>
      </c>
      <c r="B154" s="78">
        <v>2.21</v>
      </c>
      <c r="C154" s="64"/>
      <c r="D154" s="64"/>
      <c r="E154" s="64"/>
      <c r="F154" s="60"/>
    </row>
    <row r="155" spans="1:6" x14ac:dyDescent="0.35">
      <c r="A155" s="67" t="s">
        <v>69</v>
      </c>
      <c r="B155" s="78">
        <v>2.09</v>
      </c>
      <c r="C155" s="64"/>
      <c r="D155" s="64"/>
      <c r="E155" s="64"/>
      <c r="F155" s="60"/>
    </row>
    <row r="156" spans="1:6" x14ac:dyDescent="0.35">
      <c r="A156" s="67" t="s">
        <v>70</v>
      </c>
      <c r="B156" s="78">
        <v>0.33</v>
      </c>
      <c r="C156" s="64"/>
      <c r="D156" s="64"/>
      <c r="E156" s="64"/>
      <c r="F156" s="60"/>
    </row>
    <row r="157" spans="1:6" x14ac:dyDescent="0.35">
      <c r="A157" s="67" t="s">
        <v>71</v>
      </c>
      <c r="B157" s="78">
        <v>2.09</v>
      </c>
      <c r="C157" s="64"/>
      <c r="D157" s="64"/>
      <c r="E157" s="64"/>
      <c r="F157" s="60"/>
    </row>
    <row r="158" spans="1:6" x14ac:dyDescent="0.35">
      <c r="A158" s="73"/>
      <c r="B158" s="74"/>
      <c r="C158" s="64"/>
      <c r="D158" s="64"/>
      <c r="E158" s="64"/>
      <c r="F158" s="60"/>
    </row>
    <row r="159" spans="1:6" ht="153.75" customHeight="1" x14ac:dyDescent="0.35">
      <c r="A159" s="537" t="s">
        <v>74</v>
      </c>
      <c r="B159" s="538"/>
      <c r="C159" s="64"/>
      <c r="D159" s="64"/>
      <c r="E159" s="64"/>
      <c r="F159" s="60"/>
    </row>
    <row r="160" spans="1:6" ht="50.25" customHeight="1" x14ac:dyDescent="0.35">
      <c r="A160" s="539" t="s">
        <v>73</v>
      </c>
      <c r="B160" s="540"/>
      <c r="C160" s="64"/>
      <c r="D160" s="64"/>
      <c r="E160" s="64"/>
      <c r="F160" s="60"/>
    </row>
    <row r="161" spans="1:6" x14ac:dyDescent="0.35">
      <c r="A161" s="5" t="s">
        <v>203</v>
      </c>
      <c r="F161" s="60"/>
    </row>
    <row r="162" spans="1:6" x14ac:dyDescent="0.35">
      <c r="A162" s="63" t="s">
        <v>81</v>
      </c>
      <c r="F162" s="60"/>
    </row>
    <row r="163" spans="1:6" ht="15.75" customHeight="1" x14ac:dyDescent="0.35">
      <c r="A163" s="557" t="s">
        <v>82</v>
      </c>
      <c r="B163" s="556" t="s">
        <v>337</v>
      </c>
      <c r="C163" s="556"/>
      <c r="D163" s="556"/>
      <c r="F163" s="60"/>
    </row>
    <row r="164" spans="1:6" ht="37.5" customHeight="1" x14ac:dyDescent="0.35">
      <c r="A164" s="557"/>
      <c r="B164" s="76" t="s">
        <v>84</v>
      </c>
      <c r="C164" s="76" t="s">
        <v>86</v>
      </c>
      <c r="D164" s="76" t="s">
        <v>85</v>
      </c>
      <c r="F164" s="60"/>
    </row>
    <row r="165" spans="1:6" x14ac:dyDescent="0.35">
      <c r="A165" s="87" t="s">
        <v>87</v>
      </c>
      <c r="B165" s="88">
        <v>0.04</v>
      </c>
      <c r="C165" s="88">
        <v>0.04</v>
      </c>
      <c r="D165" s="88">
        <v>7.0000000000000007E-2</v>
      </c>
      <c r="F165" s="60"/>
    </row>
    <row r="166" spans="1:6" x14ac:dyDescent="0.35">
      <c r="A166" s="87" t="s">
        <v>88</v>
      </c>
      <c r="B166" s="88">
        <v>0.36</v>
      </c>
      <c r="C166" s="88">
        <v>0.17</v>
      </c>
      <c r="D166" s="88">
        <v>1</v>
      </c>
      <c r="F166" s="60"/>
    </row>
    <row r="167" spans="1:6" x14ac:dyDescent="0.35">
      <c r="A167" s="87" t="s">
        <v>89</v>
      </c>
      <c r="B167" s="88">
        <v>0.27</v>
      </c>
      <c r="C167" s="88">
        <v>0.27</v>
      </c>
      <c r="D167" s="88">
        <v>0.13</v>
      </c>
      <c r="F167" s="60"/>
    </row>
    <row r="168" spans="1:6" x14ac:dyDescent="0.35">
      <c r="A168" s="87" t="s">
        <v>90</v>
      </c>
      <c r="B168" s="88">
        <v>0.36</v>
      </c>
      <c r="C168" s="88">
        <v>0.06</v>
      </c>
      <c r="D168" s="88">
        <v>0.12</v>
      </c>
      <c r="F168" s="60"/>
    </row>
    <row r="169" spans="1:6" ht="16" x14ac:dyDescent="0.35">
      <c r="A169" s="87" t="s">
        <v>106</v>
      </c>
      <c r="B169" s="88">
        <v>0.22</v>
      </c>
      <c r="C169" s="88">
        <v>0.16</v>
      </c>
      <c r="D169" s="88">
        <v>0.15</v>
      </c>
      <c r="F169" s="60"/>
    </row>
    <row r="170" spans="1:6" ht="16" x14ac:dyDescent="0.35">
      <c r="A170" s="87" t="s">
        <v>107</v>
      </c>
      <c r="B170" s="88">
        <v>0.28999999999999998</v>
      </c>
      <c r="C170" s="88">
        <v>0.19</v>
      </c>
      <c r="D170" s="88">
        <v>0.15</v>
      </c>
      <c r="F170" s="60"/>
    </row>
    <row r="171" spans="1:6" x14ac:dyDescent="0.35">
      <c r="A171" s="87" t="s">
        <v>91</v>
      </c>
      <c r="B171" s="88">
        <v>0.17</v>
      </c>
      <c r="C171" s="88">
        <v>0.17</v>
      </c>
      <c r="D171" s="88">
        <v>0.12</v>
      </c>
      <c r="F171" s="60"/>
    </row>
    <row r="172" spans="1:6" x14ac:dyDescent="0.35">
      <c r="A172" s="87" t="s">
        <v>92</v>
      </c>
      <c r="B172" s="88">
        <v>0.13</v>
      </c>
      <c r="C172" s="88">
        <v>0.13</v>
      </c>
      <c r="D172" s="88">
        <v>7.0000000000000007E-2</v>
      </c>
      <c r="F172" s="60"/>
    </row>
    <row r="173" spans="1:6" x14ac:dyDescent="0.35">
      <c r="A173" s="87" t="s">
        <v>93</v>
      </c>
      <c r="B173" s="88">
        <v>0.09</v>
      </c>
      <c r="C173" s="88">
        <v>0.03</v>
      </c>
      <c r="D173" s="88">
        <v>0.21</v>
      </c>
      <c r="F173" s="60"/>
    </row>
    <row r="174" spans="1:6" x14ac:dyDescent="0.35">
      <c r="A174" s="87" t="s">
        <v>94</v>
      </c>
      <c r="B174" s="88">
        <v>0.37</v>
      </c>
      <c r="C174" s="88">
        <v>0.37</v>
      </c>
      <c r="D174" s="88">
        <v>0.23</v>
      </c>
      <c r="F174" s="60"/>
    </row>
    <row r="175" spans="1:6" x14ac:dyDescent="0.35">
      <c r="A175" s="87" t="s">
        <v>95</v>
      </c>
      <c r="B175" s="88">
        <v>0.48</v>
      </c>
      <c r="C175" s="88">
        <v>0.09</v>
      </c>
      <c r="D175" s="88">
        <v>0.08</v>
      </c>
      <c r="F175" s="60"/>
    </row>
    <row r="176" spans="1:6" x14ac:dyDescent="0.35">
      <c r="A176" s="87" t="s">
        <v>96</v>
      </c>
      <c r="B176" s="88">
        <v>0.36</v>
      </c>
      <c r="C176" s="88">
        <v>0.36</v>
      </c>
      <c r="D176" s="88">
        <v>0.37</v>
      </c>
      <c r="F176" s="60"/>
    </row>
    <row r="177" spans="1:6" ht="16" x14ac:dyDescent="0.35">
      <c r="A177" s="87" t="s">
        <v>108</v>
      </c>
      <c r="B177" s="88">
        <v>0.72</v>
      </c>
      <c r="C177" s="88">
        <v>0.72</v>
      </c>
      <c r="D177" s="88">
        <v>0.72</v>
      </c>
      <c r="F177" s="60"/>
    </row>
    <row r="178" spans="1:6" x14ac:dyDescent="0.35">
      <c r="A178" s="87" t="s">
        <v>97</v>
      </c>
      <c r="B178" s="88">
        <v>0.12</v>
      </c>
      <c r="C178" s="88">
        <v>0.12</v>
      </c>
      <c r="D178" s="88">
        <v>0.08</v>
      </c>
      <c r="F178" s="60"/>
    </row>
    <row r="179" spans="1:6" x14ac:dyDescent="0.35">
      <c r="A179" s="87" t="s">
        <v>98</v>
      </c>
      <c r="B179" s="88">
        <v>0.27</v>
      </c>
      <c r="C179" s="88">
        <v>0.11</v>
      </c>
      <c r="D179" s="88">
        <v>0.55000000000000004</v>
      </c>
      <c r="F179" s="60"/>
    </row>
    <row r="180" spans="1:6" x14ac:dyDescent="0.35">
      <c r="A180" s="87" t="s">
        <v>99</v>
      </c>
      <c r="B180" s="89" t="s">
        <v>100</v>
      </c>
      <c r="C180" s="89" t="s">
        <v>100</v>
      </c>
      <c r="D180" s="88">
        <v>0.11</v>
      </c>
      <c r="F180" s="60"/>
    </row>
    <row r="181" spans="1:6" x14ac:dyDescent="0.35">
      <c r="A181" s="87" t="s">
        <v>101</v>
      </c>
      <c r="B181" s="89" t="s">
        <v>100</v>
      </c>
      <c r="C181" s="89" t="s">
        <v>100</v>
      </c>
      <c r="D181" s="88">
        <v>0.13</v>
      </c>
      <c r="F181" s="60"/>
    </row>
    <row r="182" spans="1:6" x14ac:dyDescent="0.35">
      <c r="A182" s="87" t="s">
        <v>102</v>
      </c>
      <c r="B182" s="89" t="s">
        <v>100</v>
      </c>
      <c r="C182" s="89" t="s">
        <v>100</v>
      </c>
      <c r="D182" s="88">
        <v>0.08</v>
      </c>
      <c r="F182" s="60"/>
    </row>
    <row r="183" spans="1:6" x14ac:dyDescent="0.35">
      <c r="A183" s="87" t="s">
        <v>103</v>
      </c>
      <c r="B183" s="89" t="s">
        <v>100</v>
      </c>
      <c r="C183" s="89" t="s">
        <v>100</v>
      </c>
      <c r="D183" s="88">
        <v>0.04</v>
      </c>
      <c r="F183" s="60"/>
    </row>
    <row r="184" spans="1:6" x14ac:dyDescent="0.35">
      <c r="A184" s="87" t="s">
        <v>104</v>
      </c>
      <c r="B184" s="89" t="s">
        <v>100</v>
      </c>
      <c r="C184" s="89" t="s">
        <v>100</v>
      </c>
      <c r="D184" s="88">
        <v>0.11</v>
      </c>
      <c r="F184" s="60"/>
    </row>
    <row r="185" spans="1:6" x14ac:dyDescent="0.35">
      <c r="A185" s="87" t="s">
        <v>105</v>
      </c>
      <c r="B185" s="89" t="s">
        <v>100</v>
      </c>
      <c r="C185" s="89" t="s">
        <v>100</v>
      </c>
      <c r="D185" s="88">
        <v>0.06</v>
      </c>
      <c r="F185" s="60"/>
    </row>
    <row r="186" spans="1:6" ht="16" x14ac:dyDescent="0.35">
      <c r="A186" s="87" t="s">
        <v>109</v>
      </c>
      <c r="B186" s="89" t="s">
        <v>100</v>
      </c>
      <c r="C186" s="89" t="s">
        <v>100</v>
      </c>
      <c r="D186" s="88">
        <v>0.23</v>
      </c>
      <c r="F186" s="60"/>
    </row>
    <row r="187" spans="1:6" x14ac:dyDescent="0.35">
      <c r="A187" s="90"/>
      <c r="B187" s="58"/>
      <c r="C187" s="58"/>
      <c r="D187" s="59"/>
      <c r="F187" s="60"/>
    </row>
    <row r="188" spans="1:6" ht="63.75" customHeight="1" x14ac:dyDescent="0.35">
      <c r="A188" s="539" t="s">
        <v>110</v>
      </c>
      <c r="B188" s="549"/>
      <c r="C188" s="549"/>
      <c r="D188" s="540"/>
      <c r="F188" s="60"/>
    </row>
    <row r="189" spans="1:6" x14ac:dyDescent="0.35">
      <c r="A189" s="5" t="s">
        <v>203</v>
      </c>
      <c r="F189" s="60"/>
    </row>
    <row r="190" spans="1:6" x14ac:dyDescent="0.35">
      <c r="A190" s="63" t="s">
        <v>111</v>
      </c>
      <c r="F190" s="60"/>
    </row>
    <row r="191" spans="1:6" x14ac:dyDescent="0.35">
      <c r="A191" s="557" t="s">
        <v>82</v>
      </c>
      <c r="B191" s="556" t="s">
        <v>337</v>
      </c>
      <c r="C191" s="556"/>
      <c r="D191" s="556"/>
      <c r="F191" s="60"/>
    </row>
    <row r="192" spans="1:6" x14ac:dyDescent="0.35">
      <c r="A192" s="557"/>
      <c r="B192" s="76" t="s">
        <v>83</v>
      </c>
      <c r="C192" s="76" t="s">
        <v>112</v>
      </c>
      <c r="D192" s="76" t="s">
        <v>113</v>
      </c>
      <c r="F192" s="60"/>
    </row>
    <row r="193" spans="1:6" x14ac:dyDescent="0.35">
      <c r="A193" s="87" t="s">
        <v>88</v>
      </c>
      <c r="B193" s="88">
        <v>0.25</v>
      </c>
      <c r="C193" s="88">
        <v>0.25</v>
      </c>
      <c r="D193" s="88">
        <v>0.25</v>
      </c>
      <c r="F193" s="60"/>
    </row>
    <row r="194" spans="1:6" x14ac:dyDescent="0.35">
      <c r="A194" s="87" t="s">
        <v>114</v>
      </c>
      <c r="B194" s="88">
        <v>0.15</v>
      </c>
      <c r="C194" s="88">
        <v>0.15</v>
      </c>
      <c r="D194" s="88">
        <v>0.36</v>
      </c>
      <c r="F194" s="60"/>
    </row>
    <row r="195" spans="1:6" x14ac:dyDescent="0.35">
      <c r="A195" s="87" t="s">
        <v>115</v>
      </c>
      <c r="B195" s="88">
        <v>0.1</v>
      </c>
      <c r="C195" s="88">
        <v>0.1</v>
      </c>
      <c r="D195" s="88">
        <v>0.1</v>
      </c>
      <c r="F195" s="60"/>
    </row>
    <row r="196" spans="1:6" x14ac:dyDescent="0.35">
      <c r="A196" s="87" t="s">
        <v>90</v>
      </c>
      <c r="B196" s="88">
        <v>0.44</v>
      </c>
      <c r="C196" s="88">
        <v>0.44</v>
      </c>
      <c r="D196" s="88">
        <v>0.45</v>
      </c>
      <c r="F196" s="60"/>
    </row>
    <row r="197" spans="1:6" x14ac:dyDescent="0.35">
      <c r="A197" s="87" t="s">
        <v>96</v>
      </c>
      <c r="B197" s="88">
        <v>0.25</v>
      </c>
      <c r="C197" s="88">
        <v>0.25</v>
      </c>
      <c r="D197" s="88">
        <v>0.73</v>
      </c>
      <c r="F197" s="60"/>
    </row>
    <row r="198" spans="1:6" x14ac:dyDescent="0.35">
      <c r="A198" s="87" t="s">
        <v>116</v>
      </c>
      <c r="B198" s="88">
        <v>0.36</v>
      </c>
      <c r="C198" s="88">
        <v>0.14000000000000001</v>
      </c>
      <c r="D198" s="88">
        <v>0.55000000000000004</v>
      </c>
      <c r="F198" s="60"/>
    </row>
    <row r="199" spans="1:6" x14ac:dyDescent="0.35">
      <c r="A199" s="87" t="s">
        <v>117</v>
      </c>
      <c r="B199" s="88">
        <v>0.05</v>
      </c>
      <c r="C199" s="88">
        <v>0.05</v>
      </c>
      <c r="D199" s="88">
        <v>0.05</v>
      </c>
      <c r="F199" s="60"/>
    </row>
    <row r="200" spans="1:6" x14ac:dyDescent="0.35">
      <c r="A200" s="87" t="s">
        <v>118</v>
      </c>
      <c r="B200" s="89" t="s">
        <v>100</v>
      </c>
      <c r="C200" s="89" t="s">
        <v>100</v>
      </c>
      <c r="D200" s="88">
        <v>0.03</v>
      </c>
      <c r="F200" s="60"/>
    </row>
    <row r="201" spans="1:6" x14ac:dyDescent="0.35">
      <c r="A201" s="87" t="s">
        <v>91</v>
      </c>
      <c r="B201" s="89" t="s">
        <v>100</v>
      </c>
      <c r="C201" s="89" t="s">
        <v>100</v>
      </c>
      <c r="D201" s="88">
        <v>0.22</v>
      </c>
      <c r="F201" s="60"/>
    </row>
    <row r="202" spans="1:6" x14ac:dyDescent="0.35">
      <c r="A202" s="5" t="s">
        <v>203</v>
      </c>
      <c r="F202" s="60"/>
    </row>
    <row r="203" spans="1:6" x14ac:dyDescent="0.35">
      <c r="A203" s="63" t="s">
        <v>119</v>
      </c>
      <c r="F203" s="60"/>
    </row>
    <row r="204" spans="1:6" ht="44.5" x14ac:dyDescent="0.35">
      <c r="A204" s="75" t="s">
        <v>120</v>
      </c>
      <c r="B204" s="91" t="s">
        <v>338</v>
      </c>
      <c r="C204" s="91" t="s">
        <v>339</v>
      </c>
      <c r="F204" s="60"/>
    </row>
    <row r="205" spans="1:6" ht="16.5" x14ac:dyDescent="0.35">
      <c r="A205" s="87" t="s">
        <v>125</v>
      </c>
      <c r="B205" s="88">
        <v>0.36</v>
      </c>
      <c r="C205" s="88">
        <v>0.44</v>
      </c>
      <c r="F205" s="60"/>
    </row>
    <row r="206" spans="1:6" ht="16.5" x14ac:dyDescent="0.35">
      <c r="A206" s="87" t="s">
        <v>126</v>
      </c>
      <c r="B206" s="88">
        <v>0.73</v>
      </c>
      <c r="C206" s="88">
        <v>0.87</v>
      </c>
      <c r="F206" s="60"/>
    </row>
    <row r="207" spans="1:6" ht="16.5" x14ac:dyDescent="0.35">
      <c r="A207" s="87" t="s">
        <v>127</v>
      </c>
      <c r="B207" s="88">
        <v>1.82</v>
      </c>
      <c r="C207" s="88">
        <v>1.74</v>
      </c>
      <c r="F207" s="60"/>
    </row>
    <row r="208" spans="1:6" x14ac:dyDescent="0.35">
      <c r="A208" s="87" t="s">
        <v>121</v>
      </c>
      <c r="B208" s="88">
        <v>2.1800000000000002</v>
      </c>
      <c r="C208" s="88">
        <v>2.1800000000000002</v>
      </c>
      <c r="F208" s="60"/>
    </row>
    <row r="209" spans="1:6" x14ac:dyDescent="0.35">
      <c r="A209" s="87" t="s">
        <v>122</v>
      </c>
      <c r="B209" s="88">
        <v>3.63</v>
      </c>
      <c r="C209" s="88">
        <v>3.92</v>
      </c>
      <c r="F209" s="60"/>
    </row>
    <row r="210" spans="1:6" x14ac:dyDescent="0.35">
      <c r="A210" s="87" t="s">
        <v>123</v>
      </c>
      <c r="B210" s="88">
        <v>4</v>
      </c>
      <c r="C210" s="88">
        <v>4.3600000000000003</v>
      </c>
      <c r="F210" s="60"/>
    </row>
    <row r="211" spans="1:6" x14ac:dyDescent="0.35">
      <c r="A211" s="87" t="s">
        <v>124</v>
      </c>
      <c r="B211" s="88">
        <v>5.81</v>
      </c>
      <c r="C211" s="88">
        <v>4.3600000000000003</v>
      </c>
      <c r="F211" s="60"/>
    </row>
    <row r="212" spans="1:6" ht="16.5" x14ac:dyDescent="0.35">
      <c r="A212" s="87" t="s">
        <v>128</v>
      </c>
      <c r="B212" s="88">
        <v>4</v>
      </c>
      <c r="C212" s="88">
        <v>4.3600000000000003</v>
      </c>
      <c r="F212" s="60"/>
    </row>
    <row r="213" spans="1:6" x14ac:dyDescent="0.35">
      <c r="A213" s="90"/>
      <c r="B213" s="58"/>
      <c r="C213" s="59"/>
      <c r="F213" s="60"/>
    </row>
    <row r="214" spans="1:6" ht="48.75" customHeight="1" x14ac:dyDescent="0.35">
      <c r="A214" s="537" t="s">
        <v>129</v>
      </c>
      <c r="B214" s="550"/>
      <c r="C214" s="538"/>
      <c r="F214" s="60"/>
    </row>
    <row r="215" spans="1:6" ht="96.75" customHeight="1" x14ac:dyDescent="0.35">
      <c r="A215" s="537" t="s">
        <v>130</v>
      </c>
      <c r="B215" s="550"/>
      <c r="C215" s="538"/>
      <c r="F215" s="60"/>
    </row>
    <row r="216" spans="1:6" ht="66.75" customHeight="1" x14ac:dyDescent="0.35">
      <c r="A216" s="539" t="s">
        <v>156</v>
      </c>
      <c r="B216" s="549"/>
      <c r="C216" s="540"/>
      <c r="F216" s="60"/>
    </row>
    <row r="217" spans="1:6" x14ac:dyDescent="0.35">
      <c r="A217" s="5" t="s">
        <v>203</v>
      </c>
      <c r="F217" s="60"/>
    </row>
    <row r="218" spans="1:6" x14ac:dyDescent="0.35">
      <c r="A218" s="63" t="s">
        <v>131</v>
      </c>
      <c r="F218" s="60"/>
    </row>
    <row r="219" spans="1:6" ht="30.5" x14ac:dyDescent="0.35">
      <c r="A219" s="75" t="s">
        <v>133</v>
      </c>
      <c r="B219" s="91" t="s">
        <v>204</v>
      </c>
      <c r="C219" s="91" t="s">
        <v>340</v>
      </c>
      <c r="F219" s="60"/>
    </row>
    <row r="220" spans="1:6" ht="16.5" x14ac:dyDescent="0.35">
      <c r="A220" s="87" t="s">
        <v>134</v>
      </c>
      <c r="B220" s="89" t="s">
        <v>136</v>
      </c>
      <c r="C220" s="88">
        <v>8.36</v>
      </c>
      <c r="F220" s="60"/>
    </row>
    <row r="221" spans="1:6" ht="16.5" x14ac:dyDescent="0.35">
      <c r="A221" s="87" t="s">
        <v>135</v>
      </c>
      <c r="B221" s="89" t="s">
        <v>137</v>
      </c>
      <c r="C221" s="88">
        <v>7.45</v>
      </c>
      <c r="F221" s="60"/>
    </row>
    <row r="222" spans="1:6" x14ac:dyDescent="0.35">
      <c r="A222" s="90"/>
      <c r="B222" s="58"/>
      <c r="C222" s="59"/>
      <c r="F222" s="60"/>
    </row>
    <row r="223" spans="1:6" ht="50.25" customHeight="1" x14ac:dyDescent="0.35">
      <c r="A223" s="537" t="s">
        <v>138</v>
      </c>
      <c r="B223" s="550"/>
      <c r="C223" s="538"/>
      <c r="F223" s="60"/>
    </row>
    <row r="224" spans="1:6" ht="51" customHeight="1" x14ac:dyDescent="0.35">
      <c r="A224" s="537" t="s">
        <v>139</v>
      </c>
      <c r="B224" s="550"/>
      <c r="C224" s="538"/>
      <c r="F224" s="60"/>
    </row>
    <row r="225" spans="1:6" ht="49.5" customHeight="1" x14ac:dyDescent="0.35">
      <c r="A225" s="537" t="s">
        <v>140</v>
      </c>
      <c r="B225" s="550"/>
      <c r="C225" s="538"/>
      <c r="F225" s="60"/>
    </row>
    <row r="226" spans="1:6" ht="80.25" customHeight="1" x14ac:dyDescent="0.35">
      <c r="A226" s="539" t="s">
        <v>141</v>
      </c>
      <c r="B226" s="549"/>
      <c r="C226" s="540"/>
      <c r="F226" s="60"/>
    </row>
    <row r="227" spans="1:6" x14ac:dyDescent="0.35">
      <c r="A227" s="5" t="s">
        <v>203</v>
      </c>
      <c r="F227" s="60"/>
    </row>
    <row r="228" spans="1:6" x14ac:dyDescent="0.35">
      <c r="A228" s="63" t="s">
        <v>132</v>
      </c>
      <c r="F228" s="60"/>
    </row>
    <row r="229" spans="1:6" ht="15.75" customHeight="1" x14ac:dyDescent="0.35">
      <c r="A229" s="557" t="s">
        <v>142</v>
      </c>
      <c r="B229" s="558" t="s">
        <v>341</v>
      </c>
      <c r="C229" s="559"/>
      <c r="D229" s="559"/>
      <c r="E229" s="560"/>
      <c r="F229" s="177"/>
    </row>
    <row r="230" spans="1:6" ht="16" x14ac:dyDescent="0.35">
      <c r="A230" s="557"/>
      <c r="B230" s="76" t="s">
        <v>143</v>
      </c>
      <c r="C230" s="76" t="s">
        <v>144</v>
      </c>
      <c r="D230" s="76" t="s">
        <v>145</v>
      </c>
      <c r="E230" s="76" t="s">
        <v>322</v>
      </c>
      <c r="F230" s="178"/>
    </row>
    <row r="231" spans="1:6" x14ac:dyDescent="0.35">
      <c r="A231" s="87" t="s">
        <v>146</v>
      </c>
      <c r="B231" s="92">
        <v>0.14699999999999999</v>
      </c>
      <c r="C231" s="93">
        <v>2.0999999999999999E-3</v>
      </c>
      <c r="D231" s="92">
        <v>1.9E-2</v>
      </c>
      <c r="E231" s="92" t="s">
        <v>100</v>
      </c>
      <c r="F231" s="179"/>
    </row>
    <row r="232" spans="1:6" x14ac:dyDescent="0.35">
      <c r="A232" s="87" t="s">
        <v>147</v>
      </c>
      <c r="B232" s="92">
        <v>3.1E-2</v>
      </c>
      <c r="C232" s="93">
        <v>2.0000000000000001E-4</v>
      </c>
      <c r="D232" s="92">
        <v>0.105</v>
      </c>
      <c r="E232" s="92" t="s">
        <v>100</v>
      </c>
      <c r="F232" s="179"/>
    </row>
    <row r="233" spans="1:6" x14ac:dyDescent="0.35">
      <c r="A233" s="87" t="s">
        <v>148</v>
      </c>
      <c r="B233" s="92">
        <v>0.124</v>
      </c>
      <c r="C233" s="93">
        <v>1.1000000000000001E-3</v>
      </c>
      <c r="D233" s="92">
        <v>4.2999999999999997E-2</v>
      </c>
      <c r="E233" s="92">
        <v>1.2999999999999999E-2</v>
      </c>
      <c r="F233" s="179"/>
    </row>
    <row r="234" spans="1:6" x14ac:dyDescent="0.35">
      <c r="A234" s="87" t="s">
        <v>149</v>
      </c>
      <c r="B234" s="92">
        <v>0.36699999999999999</v>
      </c>
      <c r="C234" s="93">
        <v>4.65E-2</v>
      </c>
      <c r="D234" s="92">
        <v>1.7000000000000001E-2</v>
      </c>
      <c r="E234" s="92" t="s">
        <v>100</v>
      </c>
      <c r="F234" s="179"/>
    </row>
    <row r="235" spans="1:6" x14ac:dyDescent="0.35">
      <c r="A235" s="87" t="s">
        <v>150</v>
      </c>
      <c r="B235" s="92">
        <v>0.08</v>
      </c>
      <c r="C235" s="93">
        <v>3.8999999999999998E-3</v>
      </c>
      <c r="D235" s="92">
        <v>0.03</v>
      </c>
      <c r="E235" s="92" t="s">
        <v>100</v>
      </c>
      <c r="F235" s="179"/>
    </row>
    <row r="236" spans="1:6" x14ac:dyDescent="0.35">
      <c r="A236" s="87" t="s">
        <v>151</v>
      </c>
      <c r="B236" s="92">
        <v>0.251</v>
      </c>
      <c r="C236" s="93">
        <v>2.3400000000000001E-2</v>
      </c>
      <c r="D236" s="92">
        <v>2.3E-2</v>
      </c>
      <c r="E236" s="92">
        <v>3.7999999999999999E-2</v>
      </c>
      <c r="F236" s="179"/>
    </row>
    <row r="237" spans="1:6" x14ac:dyDescent="0.35">
      <c r="A237" s="87" t="s">
        <v>152</v>
      </c>
      <c r="B237" s="92">
        <v>0.16300000000000001</v>
      </c>
      <c r="C237" s="93">
        <v>5.4000000000000003E-3</v>
      </c>
      <c r="D237" s="92">
        <v>1.9E-2</v>
      </c>
      <c r="E237" s="92" t="s">
        <v>100</v>
      </c>
      <c r="F237" s="179"/>
    </row>
    <row r="238" spans="1:6" x14ac:dyDescent="0.35">
      <c r="A238" s="87" t="s">
        <v>153</v>
      </c>
      <c r="B238" s="92">
        <v>3.7999999999999999E-2</v>
      </c>
      <c r="C238" s="93">
        <v>6.9999999999999999E-4</v>
      </c>
      <c r="D238" s="92">
        <v>9.4E-2</v>
      </c>
      <c r="E238" s="92" t="s">
        <v>100</v>
      </c>
      <c r="F238" s="179"/>
    </row>
    <row r="239" spans="1:6" x14ac:dyDescent="0.35">
      <c r="A239" s="87" t="s">
        <v>154</v>
      </c>
      <c r="B239" s="92">
        <v>0.13600000000000001</v>
      </c>
      <c r="C239" s="93">
        <v>3.3E-3</v>
      </c>
      <c r="D239" s="92">
        <v>4.1000000000000002E-2</v>
      </c>
      <c r="E239" s="92">
        <v>1.6E-2</v>
      </c>
      <c r="F239" s="179"/>
    </row>
    <row r="240" spans="1:6" x14ac:dyDescent="0.35">
      <c r="A240" s="90"/>
      <c r="B240" s="58"/>
      <c r="C240" s="58"/>
      <c r="D240" s="59"/>
      <c r="E240" s="176"/>
      <c r="F240" s="180"/>
    </row>
    <row r="241" spans="1:6" ht="45.75" customHeight="1" x14ac:dyDescent="0.35">
      <c r="A241" s="537" t="s">
        <v>342</v>
      </c>
      <c r="B241" s="550"/>
      <c r="C241" s="550"/>
      <c r="D241" s="550"/>
      <c r="E241" s="538"/>
      <c r="F241" s="181"/>
    </row>
    <row r="242" spans="1:6" ht="32.5" customHeight="1" x14ac:dyDescent="0.35">
      <c r="A242" s="554" t="s">
        <v>321</v>
      </c>
      <c r="B242" s="554"/>
      <c r="C242" s="554"/>
      <c r="D242" s="554"/>
      <c r="E242" s="555"/>
      <c r="F242" s="182"/>
    </row>
  </sheetData>
  <mergeCells count="35">
    <mergeCell ref="A148:B148"/>
    <mergeCell ref="A149:B149"/>
    <mergeCell ref="A159:B159"/>
    <mergeCell ref="A226:C226"/>
    <mergeCell ref="A229:A230"/>
    <mergeCell ref="A214:C214"/>
    <mergeCell ref="A215:C215"/>
    <mergeCell ref="A216:C216"/>
    <mergeCell ref="B229:E229"/>
    <mergeCell ref="A241:E241"/>
    <mergeCell ref="A242:E242"/>
    <mergeCell ref="A225:C225"/>
    <mergeCell ref="B163:D163"/>
    <mergeCell ref="A163:A164"/>
    <mergeCell ref="A223:C223"/>
    <mergeCell ref="A224:C224"/>
    <mergeCell ref="A188:D188"/>
    <mergeCell ref="A191:A192"/>
    <mergeCell ref="B191:D191"/>
    <mergeCell ref="A20:B20"/>
    <mergeCell ref="A21:B21"/>
    <mergeCell ref="A36:B36"/>
    <mergeCell ref="A37:B37"/>
    <mergeCell ref="A160:B160"/>
    <mergeCell ref="A38:B38"/>
    <mergeCell ref="A39:B39"/>
    <mergeCell ref="A40:B40"/>
    <mergeCell ref="A49:B49"/>
    <mergeCell ref="A56:B56"/>
    <mergeCell ref="A57:B57"/>
    <mergeCell ref="B60:C60"/>
    <mergeCell ref="A74:C74"/>
    <mergeCell ref="A75:C75"/>
    <mergeCell ref="A111:D111"/>
    <mergeCell ref="A112:D112"/>
  </mergeCells>
  <hyperlinks>
    <hyperlink ref="A3" r:id="rId1" display="Tables A-1 through A-4 come from USDOT BCA Guidance (March 2022, Revised)" xr:uid="{68918682-7B21-4C2E-A89E-E2125912E2A4}"/>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2AF6-D5FB-40DE-935F-B23E8B0B3C6A}">
  <sheetPr>
    <tabColor theme="9" tint="0.39997558519241921"/>
  </sheetPr>
  <dimension ref="A1:BX246"/>
  <sheetViews>
    <sheetView workbookViewId="0">
      <selection activeCell="F11" sqref="F11"/>
    </sheetView>
  </sheetViews>
  <sheetFormatPr defaultColWidth="9.1796875" defaultRowHeight="14.5" x14ac:dyDescent="0.35"/>
  <cols>
    <col min="1" max="1" width="30.1796875" customWidth="1"/>
    <col min="2" max="5" width="20.7265625" customWidth="1"/>
    <col min="6" max="6" width="16.54296875" customWidth="1"/>
    <col min="7" max="7" width="17.453125" customWidth="1"/>
    <col min="8" max="8" width="21.1796875" customWidth="1"/>
    <col min="9" max="9" width="16.1796875" customWidth="1"/>
    <col min="10" max="10" width="16.81640625" customWidth="1"/>
    <col min="11" max="11" width="17.26953125" customWidth="1"/>
    <col min="12" max="12" width="16.81640625" customWidth="1"/>
    <col min="13" max="13" width="17.26953125" customWidth="1"/>
    <col min="14" max="14" width="9.1796875" style="5"/>
    <col min="15" max="15" width="1.6328125" style="5" customWidth="1"/>
    <col min="16" max="76" width="9.1796875" style="5"/>
  </cols>
  <sheetData>
    <row r="1" spans="1:62" ht="20" thickBot="1" x14ac:dyDescent="0.5">
      <c r="A1" s="94" t="s">
        <v>288</v>
      </c>
      <c r="B1" s="5"/>
      <c r="C1" s="5"/>
      <c r="D1" s="5"/>
      <c r="E1" s="5"/>
      <c r="F1" s="5"/>
      <c r="G1" s="5"/>
      <c r="H1" s="5"/>
      <c r="I1" s="5"/>
      <c r="J1" s="5"/>
      <c r="K1" s="5"/>
      <c r="L1" s="5"/>
      <c r="M1" s="5"/>
    </row>
    <row r="2" spans="1:62" ht="15" thickTop="1" x14ac:dyDescent="0.35">
      <c r="A2" s="144" t="s">
        <v>312</v>
      </c>
      <c r="B2" s="144"/>
      <c r="C2" s="144"/>
      <c r="D2" s="144"/>
      <c r="E2" s="144"/>
      <c r="F2" s="144"/>
      <c r="G2" s="144"/>
      <c r="H2" s="144"/>
      <c r="I2" s="5"/>
      <c r="J2" s="5"/>
      <c r="K2" s="5"/>
      <c r="L2" s="5"/>
      <c r="M2" s="5"/>
    </row>
    <row r="3" spans="1:62" x14ac:dyDescent="0.35">
      <c r="A3" s="144" t="s">
        <v>289</v>
      </c>
      <c r="B3" s="144"/>
      <c r="C3" s="144"/>
      <c r="D3" s="144"/>
      <c r="E3" s="144"/>
      <c r="F3" s="144"/>
      <c r="G3" s="144"/>
      <c r="H3" s="144"/>
      <c r="I3" s="5"/>
      <c r="J3" s="5"/>
      <c r="K3" s="5"/>
      <c r="L3" s="5"/>
      <c r="M3" s="5"/>
    </row>
    <row r="4" spans="1:62" x14ac:dyDescent="0.35">
      <c r="A4" s="144" t="s">
        <v>213</v>
      </c>
      <c r="B4" s="144"/>
      <c r="C4" s="144"/>
      <c r="D4" s="144"/>
      <c r="E4" s="144"/>
      <c r="F4" s="5"/>
      <c r="G4" s="5"/>
      <c r="H4" s="5"/>
      <c r="I4" s="5"/>
      <c r="J4" s="5"/>
      <c r="K4" s="5"/>
      <c r="L4" s="5"/>
      <c r="M4" s="5"/>
    </row>
    <row r="5" spans="1:62" x14ac:dyDescent="0.35">
      <c r="A5" s="144" t="s">
        <v>212</v>
      </c>
      <c r="B5" s="144"/>
      <c r="C5" s="144"/>
      <c r="D5" s="144"/>
      <c r="E5" s="5"/>
      <c r="F5" s="5"/>
      <c r="G5" s="5"/>
      <c r="H5" s="5"/>
      <c r="I5" s="5"/>
      <c r="J5" s="5"/>
      <c r="K5" s="5"/>
      <c r="L5" s="5"/>
      <c r="M5" s="5"/>
    </row>
    <row r="6" spans="1:62" x14ac:dyDescent="0.35">
      <c r="A6" s="5" t="s">
        <v>203</v>
      </c>
      <c r="B6" s="5"/>
      <c r="C6" s="5"/>
      <c r="D6" s="5"/>
      <c r="E6" s="5"/>
      <c r="F6" s="5"/>
      <c r="G6" s="5"/>
      <c r="H6" s="5"/>
      <c r="I6" s="5"/>
      <c r="J6" s="5"/>
      <c r="K6" s="5"/>
      <c r="L6" s="5"/>
      <c r="M6" s="5"/>
    </row>
    <row r="7" spans="1:62" ht="15" thickBot="1" x14ac:dyDescent="0.4">
      <c r="A7" s="138" t="s">
        <v>215</v>
      </c>
      <c r="B7" s="5"/>
      <c r="C7" s="5"/>
      <c r="D7" s="5"/>
      <c r="E7" s="5"/>
      <c r="F7" s="5"/>
      <c r="G7" s="5"/>
      <c r="H7" s="5"/>
      <c r="I7" s="5"/>
      <c r="J7" s="5"/>
      <c r="K7" s="5"/>
      <c r="L7" s="5"/>
      <c r="M7" s="5"/>
    </row>
    <row r="8" spans="1:62" x14ac:dyDescent="0.35">
      <c r="A8" s="5"/>
      <c r="B8" s="563" t="s">
        <v>187</v>
      </c>
      <c r="C8" s="562"/>
      <c r="D8" s="561" t="s">
        <v>188</v>
      </c>
      <c r="E8" s="562"/>
      <c r="F8" s="561" t="s">
        <v>185</v>
      </c>
      <c r="G8" s="562"/>
      <c r="H8" s="561" t="s">
        <v>186</v>
      </c>
      <c r="I8" s="562"/>
      <c r="J8" s="561" t="s">
        <v>189</v>
      </c>
      <c r="K8" s="562"/>
      <c r="L8" s="561" t="s">
        <v>192</v>
      </c>
      <c r="M8" s="562"/>
      <c r="O8" s="10" t="s">
        <v>159</v>
      </c>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2"/>
    </row>
    <row r="9" spans="1:62" x14ac:dyDescent="0.35">
      <c r="A9" s="99" t="s">
        <v>4</v>
      </c>
      <c r="B9" s="100" t="s">
        <v>190</v>
      </c>
      <c r="C9" s="100" t="s">
        <v>191</v>
      </c>
      <c r="D9" s="100" t="s">
        <v>190</v>
      </c>
      <c r="E9" s="100" t="s">
        <v>191</v>
      </c>
      <c r="F9" s="100" t="s">
        <v>190</v>
      </c>
      <c r="G9" s="100" t="s">
        <v>191</v>
      </c>
      <c r="H9" s="100" t="s">
        <v>190</v>
      </c>
      <c r="I9" s="100" t="s">
        <v>191</v>
      </c>
      <c r="J9" s="100" t="s">
        <v>190</v>
      </c>
      <c r="K9" s="100" t="s">
        <v>191</v>
      </c>
      <c r="L9" s="100" t="s">
        <v>190</v>
      </c>
      <c r="M9" s="100" t="s">
        <v>191</v>
      </c>
      <c r="O9" s="13"/>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s="14"/>
    </row>
    <row r="10" spans="1:62" x14ac:dyDescent="0.35">
      <c r="A10" s="6">
        <f>'Project Information'!$B$9</f>
        <v>2033</v>
      </c>
      <c r="B10" s="350">
        <f>Inputs!$D$20*365</f>
        <v>16892200.547499999</v>
      </c>
      <c r="C10" s="350">
        <f>Inputs!$E$20*365</f>
        <v>16892200.547499999</v>
      </c>
      <c r="D10" s="350">
        <f>Inputs!$D$21*365</f>
        <v>397666.95249999996</v>
      </c>
      <c r="E10" s="350">
        <f>Inputs!$E$21*365</f>
        <v>397666.95249999996</v>
      </c>
      <c r="F10" s="350">
        <f>Inputs!$D$22*365</f>
        <v>142350</v>
      </c>
      <c r="G10" s="350">
        <f>Inputs!$E$22*365</f>
        <v>146620.5</v>
      </c>
      <c r="H10" s="350">
        <f>Inputs!$D$23*365</f>
        <v>5475</v>
      </c>
      <c r="I10" s="350">
        <f>Inputs!$E$23*365</f>
        <v>5639.25</v>
      </c>
      <c r="J10" s="41">
        <v>0</v>
      </c>
      <c r="K10" s="41">
        <v>0</v>
      </c>
      <c r="L10" s="41">
        <v>0</v>
      </c>
      <c r="M10" s="41">
        <v>0</v>
      </c>
      <c r="O10" s="525"/>
      <c r="P10" s="526" t="s">
        <v>1612</v>
      </c>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s="14"/>
    </row>
    <row r="11" spans="1:62" x14ac:dyDescent="0.35">
      <c r="A11" s="1">
        <f>IF(A10&lt;'Project Information'!B$11,A10+1,"")</f>
        <v>2034</v>
      </c>
      <c r="B11" s="350">
        <f>B10*(1+(Inputs!$D$7/'Project Information'!$B$10))</f>
        <v>16894995.53414695</v>
      </c>
      <c r="C11" s="350">
        <f>C10*(1+(Inputs!$E$7/'Project Information'!$B$10))</f>
        <v>16894995.53414695</v>
      </c>
      <c r="D11" s="350">
        <f>D10*(1+(Inputs!$D$8/'Project Information'!$B$10))</f>
        <v>397732.75054798339</v>
      </c>
      <c r="E11" s="350">
        <f>E10*(1+(Inputs!$E$8/'Project Information'!$B$10))</f>
        <v>397732.75054798339</v>
      </c>
      <c r="F11" s="350">
        <f>F10*(1+(Inputs!$D$9/'Project Information'!$B$10))</f>
        <v>142373.55325749741</v>
      </c>
      <c r="G11" s="350">
        <f>G10*(1+(Inputs!$E$9/'Project Information'!$B$10))</f>
        <v>146644.75985522234</v>
      </c>
      <c r="H11" s="350">
        <f>H10*(1+(Inputs!$D$10/'Project Information'!$B$10))</f>
        <v>5475.9058945191318</v>
      </c>
      <c r="I11" s="350">
        <f>I10*(1+(Inputs!$E$10/'Project Information'!$B$10))</f>
        <v>5640.1830713547051</v>
      </c>
      <c r="J11" s="41">
        <v>0</v>
      </c>
      <c r="K11" s="41">
        <v>0</v>
      </c>
      <c r="L11" s="41">
        <v>0</v>
      </c>
      <c r="M11" s="41">
        <v>0</v>
      </c>
      <c r="O11" s="351"/>
      <c r="P11" s="527" t="s">
        <v>1613</v>
      </c>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s="14"/>
    </row>
    <row r="12" spans="1:62" x14ac:dyDescent="0.35">
      <c r="A12" s="1">
        <f>IF(A11&lt;'Project Information'!B$11,A11+1,"")</f>
        <v>2035</v>
      </c>
      <c r="B12" s="350">
        <f>B11*(1+(Inputs!$D$7/'Project Information'!$B$10))</f>
        <v>16897790.983252909</v>
      </c>
      <c r="C12" s="350">
        <f>C11*(1+(Inputs!$E$7/'Project Information'!$B$10))</f>
        <v>16897790.983252909</v>
      </c>
      <c r="D12" s="350">
        <f>D11*(1+(Inputs!$D$8/'Project Information'!$B$10))</f>
        <v>397798.55948292412</v>
      </c>
      <c r="E12" s="350">
        <f>E11*(1+(Inputs!$E$8/'Project Information'!$B$10))</f>
        <v>397798.55948292412</v>
      </c>
      <c r="F12" s="350">
        <f>F11*(1+(Inputs!$D$9/'Project Information'!$B$10))</f>
        <v>142397.1104121212</v>
      </c>
      <c r="G12" s="350">
        <f>G11*(1+(Inputs!$E$9/'Project Information'!$B$10))</f>
        <v>146669.02372448484</v>
      </c>
      <c r="H12" s="350">
        <f>H11*(1+(Inputs!$D$10/'Project Information'!$B$10))</f>
        <v>5476.811938927739</v>
      </c>
      <c r="I12" s="350">
        <f>I11*(1+(Inputs!$E$10/'Project Information'!$B$10))</f>
        <v>5641.1162970955702</v>
      </c>
      <c r="J12" s="41">
        <v>0</v>
      </c>
      <c r="K12" s="41">
        <v>0</v>
      </c>
      <c r="L12" s="41">
        <v>0</v>
      </c>
      <c r="M12" s="41">
        <v>0</v>
      </c>
      <c r="O12" s="351"/>
      <c r="P12" s="527" t="s">
        <v>1611</v>
      </c>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s="14"/>
    </row>
    <row r="13" spans="1:62" x14ac:dyDescent="0.35">
      <c r="A13" s="1">
        <f>IF(A12&lt;'Project Information'!B$11,A12+1,"")</f>
        <v>2036</v>
      </c>
      <c r="B13" s="350">
        <f>B12*(1+(Inputs!$D$7/'Project Information'!$B$10))</f>
        <v>16900586.894894399</v>
      </c>
      <c r="C13" s="350">
        <f>C12*(1+(Inputs!$E$7/'Project Information'!$B$10))</f>
        <v>16900586.894894399</v>
      </c>
      <c r="D13" s="350">
        <f>D12*(1+(Inputs!$D$8/'Project Information'!$B$10))</f>
        <v>397864.37930662348</v>
      </c>
      <c r="E13" s="350">
        <f>E12*(1+(Inputs!$E$8/'Project Information'!$B$10))</f>
        <v>397864.37930662348</v>
      </c>
      <c r="F13" s="350">
        <f>F12*(1+(Inputs!$D$9/'Project Information'!$B$10))</f>
        <v>142420.67146451617</v>
      </c>
      <c r="G13" s="350">
        <f>G12*(1+(Inputs!$E$9/'Project Information'!$B$10))</f>
        <v>146693.29160845166</v>
      </c>
      <c r="H13" s="350">
        <f>H12*(1+(Inputs!$D$10/'Project Information'!$B$10))</f>
        <v>5477.7181332506225</v>
      </c>
      <c r="I13" s="350">
        <f>I12*(1+(Inputs!$E$10/'Project Information'!$B$10))</f>
        <v>5642.0496772481401</v>
      </c>
      <c r="J13" s="41">
        <v>0</v>
      </c>
      <c r="K13" s="41">
        <v>0</v>
      </c>
      <c r="L13" s="41">
        <v>0</v>
      </c>
      <c r="M13" s="41">
        <v>0</v>
      </c>
      <c r="O13" s="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s="14"/>
    </row>
    <row r="14" spans="1:62" x14ac:dyDescent="0.35">
      <c r="A14" s="1">
        <f>IF(A13&lt;'Project Information'!B$11,A13+1,"")</f>
        <v>2037</v>
      </c>
      <c r="B14" s="350">
        <f>B13*(1+(Inputs!$D$7/'Project Information'!$B$10))</f>
        <v>16903383.269147947</v>
      </c>
      <c r="C14" s="350">
        <f>C13*(1+(Inputs!$E$7/'Project Information'!$B$10))</f>
        <v>16903383.269147947</v>
      </c>
      <c r="D14" s="350">
        <f>D13*(1+(Inputs!$D$8/'Project Information'!$B$10))</f>
        <v>397930.21002088313</v>
      </c>
      <c r="E14" s="350">
        <f>E13*(1+(Inputs!$E$8/'Project Information'!$B$10))</f>
        <v>397930.21002088313</v>
      </c>
      <c r="F14" s="350">
        <f>F13*(1+(Inputs!$D$9/'Project Information'!$B$10))</f>
        <v>142444.23641532726</v>
      </c>
      <c r="G14" s="350">
        <f>G13*(1+(Inputs!$E$9/'Project Information'!$B$10))</f>
        <v>146717.5635077871</v>
      </c>
      <c r="H14" s="350">
        <f>H13*(1+(Inputs!$D$10/'Project Information'!$B$10))</f>
        <v>5478.6244775125879</v>
      </c>
      <c r="I14" s="350">
        <f>I13*(1+(Inputs!$E$10/'Project Information'!$B$10))</f>
        <v>5642.9832118379645</v>
      </c>
      <c r="J14" s="41">
        <v>0</v>
      </c>
      <c r="K14" s="41">
        <v>0</v>
      </c>
      <c r="L14" s="41">
        <v>0</v>
      </c>
      <c r="M14" s="41">
        <v>0</v>
      </c>
      <c r="O14" s="13"/>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s="14"/>
    </row>
    <row r="15" spans="1:62" x14ac:dyDescent="0.35">
      <c r="A15" s="1">
        <f>IF(A14&lt;'Project Information'!B$11,A14+1,"")</f>
        <v>2038</v>
      </c>
      <c r="B15" s="350">
        <f>B14*(1+(Inputs!$D$7/'Project Information'!$B$10))</f>
        <v>16906180.106090102</v>
      </c>
      <c r="C15" s="350">
        <f>C14*(1+(Inputs!$E$7/'Project Information'!$B$10))</f>
        <v>16906180.106090102</v>
      </c>
      <c r="D15" s="350">
        <f>D14*(1+(Inputs!$D$8/'Project Information'!$B$10))</f>
        <v>397996.05162750499</v>
      </c>
      <c r="E15" s="350">
        <f>E14*(1+(Inputs!$E$8/'Project Information'!$B$10))</f>
        <v>397996.05162750499</v>
      </c>
      <c r="F15" s="350">
        <f>F14*(1+(Inputs!$D$9/'Project Information'!$B$10))</f>
        <v>142467.80526519951</v>
      </c>
      <c r="G15" s="350">
        <f>G14*(1+(Inputs!$E$9/'Project Information'!$B$10))</f>
        <v>146741.8394231555</v>
      </c>
      <c r="H15" s="350">
        <f>H14*(1+(Inputs!$D$10/'Project Information'!$B$10))</f>
        <v>5479.5309717384434</v>
      </c>
      <c r="I15" s="350">
        <f>I14*(1+(Inputs!$E$10/'Project Information'!$B$10))</f>
        <v>5643.9169008905956</v>
      </c>
      <c r="J15" s="41">
        <v>0</v>
      </c>
      <c r="K15" s="41">
        <v>0</v>
      </c>
      <c r="L15" s="41">
        <v>0</v>
      </c>
      <c r="M15" s="41">
        <v>0</v>
      </c>
      <c r="O15" s="13"/>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s="14"/>
    </row>
    <row r="16" spans="1:62" x14ac:dyDescent="0.35">
      <c r="A16" s="1">
        <f>IF(A15&lt;'Project Information'!B$11,A15+1,"")</f>
        <v>2039</v>
      </c>
      <c r="B16" s="350">
        <f>B15*(1+(Inputs!$D$7/'Project Information'!$B$10))</f>
        <v>16908977.405797418</v>
      </c>
      <c r="C16" s="350">
        <f>C15*(1+(Inputs!$E$7/'Project Information'!$B$10))</f>
        <v>16908977.405797418</v>
      </c>
      <c r="D16" s="350">
        <f>D15*(1+(Inputs!$D$8/'Project Information'!$B$10))</f>
        <v>398061.90412829135</v>
      </c>
      <c r="E16" s="350">
        <f>E15*(1+(Inputs!$E$8/'Project Information'!$B$10))</f>
        <v>398061.90412829135</v>
      </c>
      <c r="F16" s="350">
        <f>F15*(1+(Inputs!$D$9/'Project Information'!$B$10))</f>
        <v>142491.37801477802</v>
      </c>
      <c r="G16" s="350">
        <f>G15*(1+(Inputs!$E$9/'Project Information'!$B$10))</f>
        <v>146766.11935522137</v>
      </c>
      <c r="H16" s="350">
        <f>H15*(1+(Inputs!$D$10/'Project Information'!$B$10))</f>
        <v>5480.437615953002</v>
      </c>
      <c r="I16" s="350">
        <f>I15*(1+(Inputs!$E$10/'Project Information'!$B$10))</f>
        <v>5644.850744431591</v>
      </c>
      <c r="J16" s="41">
        <v>0</v>
      </c>
      <c r="K16" s="41">
        <v>0</v>
      </c>
      <c r="L16" s="41">
        <v>0</v>
      </c>
      <c r="M16" s="41">
        <v>0</v>
      </c>
      <c r="O16" s="13"/>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s="14"/>
    </row>
    <row r="17" spans="1:62" x14ac:dyDescent="0.35">
      <c r="A17" s="1">
        <f>IF(A16&lt;'Project Information'!B$11,A16+1,"")</f>
        <v>2040</v>
      </c>
      <c r="B17" s="350">
        <f>B16*(1+(Inputs!$D$7/'Project Information'!$B$10))</f>
        <v>16911775.168346465</v>
      </c>
      <c r="C17" s="350">
        <f>C16*(1+(Inputs!$E$7/'Project Information'!$B$10))</f>
        <v>16911775.168346465</v>
      </c>
      <c r="D17" s="350">
        <f>D16*(1+(Inputs!$D$8/'Project Information'!$B$10))</f>
        <v>398127.76752504474</v>
      </c>
      <c r="E17" s="350">
        <f>E16*(1+(Inputs!$E$8/'Project Information'!$B$10))</f>
        <v>398127.76752504474</v>
      </c>
      <c r="F17" s="350">
        <f>F16*(1+(Inputs!$D$9/'Project Information'!$B$10))</f>
        <v>142514.95466470809</v>
      </c>
      <c r="G17" s="350">
        <f>G16*(1+(Inputs!$E$9/'Project Information'!$B$10))</f>
        <v>146790.40330464931</v>
      </c>
      <c r="H17" s="350">
        <f>H16*(1+(Inputs!$D$10/'Project Information'!$B$10))</f>
        <v>5481.344410181081</v>
      </c>
      <c r="I17" s="350">
        <f>I16*(1+(Inputs!$E$10/'Project Information'!$B$10))</f>
        <v>5645.7847424865122</v>
      </c>
      <c r="J17" s="41">
        <v>0</v>
      </c>
      <c r="K17" s="41">
        <v>0</v>
      </c>
      <c r="L17" s="41">
        <v>0</v>
      </c>
      <c r="M17" s="41">
        <v>0</v>
      </c>
      <c r="O17" s="13"/>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s="14"/>
    </row>
    <row r="18" spans="1:62" x14ac:dyDescent="0.35">
      <c r="A18" s="1">
        <f>IF(A17&lt;'Project Information'!B$11,A17+1,"")</f>
        <v>2041</v>
      </c>
      <c r="B18" s="350">
        <f>B17*(1+(Inputs!$D$7/'Project Information'!$B$10))</f>
        <v>16914573.393813822</v>
      </c>
      <c r="C18" s="350">
        <f>C17*(1+(Inputs!$E$7/'Project Information'!$B$10))</f>
        <v>16914573.393813822</v>
      </c>
      <c r="D18" s="350">
        <f>D17*(1+(Inputs!$D$8/'Project Information'!$B$10))</f>
        <v>398193.641819568</v>
      </c>
      <c r="E18" s="350">
        <f>E17*(1+(Inputs!$E$8/'Project Information'!$B$10))</f>
        <v>398193.641819568</v>
      </c>
      <c r="F18" s="350">
        <f>F17*(1+(Inputs!$D$9/'Project Information'!$B$10))</f>
        <v>142538.53521563503</v>
      </c>
      <c r="G18" s="350">
        <f>G17*(1+(Inputs!$E$9/'Project Information'!$B$10))</f>
        <v>146814.69127210407</v>
      </c>
      <c r="H18" s="350">
        <f>H17*(1+(Inputs!$D$10/'Project Information'!$B$10))</f>
        <v>5482.2513544475023</v>
      </c>
      <c r="I18" s="350">
        <f>I17*(1+(Inputs!$E$10/'Project Information'!$B$10))</f>
        <v>5646.7188950809259</v>
      </c>
      <c r="J18" s="41">
        <v>0</v>
      </c>
      <c r="K18" s="41">
        <v>0</v>
      </c>
      <c r="L18" s="41">
        <v>0</v>
      </c>
      <c r="M18" s="41">
        <v>0</v>
      </c>
      <c r="O18" s="13"/>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s="14"/>
    </row>
    <row r="19" spans="1:62" x14ac:dyDescent="0.35">
      <c r="A19" s="1">
        <f>IF(A18&lt;'Project Information'!B$11,A18+1,"")</f>
        <v>2042</v>
      </c>
      <c r="B19" s="350">
        <f>B18*(1+(Inputs!$D$7/'Project Information'!$B$10))</f>
        <v>16917372.082276087</v>
      </c>
      <c r="C19" s="350">
        <f>C18*(1+(Inputs!$E$7/'Project Information'!$B$10))</f>
        <v>16917372.082276087</v>
      </c>
      <c r="D19" s="350">
        <f>D18*(1+(Inputs!$D$8/'Project Information'!$B$10))</f>
        <v>398259.52701366431</v>
      </c>
      <c r="E19" s="350">
        <f>E18*(1+(Inputs!$E$8/'Project Information'!$B$10))</f>
        <v>398259.52701366431</v>
      </c>
      <c r="F19" s="350">
        <f>F18*(1+(Inputs!$D$9/'Project Information'!$B$10))</f>
        <v>142562.11966820431</v>
      </c>
      <c r="G19" s="350">
        <f>G18*(1+(Inputs!$E$9/'Project Information'!$B$10))</f>
        <v>146838.98325825043</v>
      </c>
      <c r="H19" s="350">
        <f>H18*(1+(Inputs!$D$10/'Project Information'!$B$10))</f>
        <v>5483.1584487770906</v>
      </c>
      <c r="I19" s="350">
        <f>I18*(1+(Inputs!$E$10/'Project Information'!$B$10))</f>
        <v>5647.6532022404017</v>
      </c>
      <c r="J19" s="41">
        <v>0</v>
      </c>
      <c r="K19" s="41">
        <v>0</v>
      </c>
      <c r="L19" s="41">
        <v>0</v>
      </c>
      <c r="M19" s="41">
        <v>0</v>
      </c>
      <c r="O19" s="13"/>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s="14"/>
    </row>
    <row r="20" spans="1:62" x14ac:dyDescent="0.35">
      <c r="A20" s="1">
        <f>IF(A19&lt;'Project Information'!B$11,A19+1,"")</f>
        <v>2043</v>
      </c>
      <c r="B20" s="350">
        <f>B19*(1+(Inputs!$D$7/'Project Information'!$B$10))</f>
        <v>16920171.233809866</v>
      </c>
      <c r="C20" s="350">
        <f>C19*(1+(Inputs!$E$7/'Project Information'!$B$10))</f>
        <v>16920171.233809866</v>
      </c>
      <c r="D20" s="350">
        <f>D19*(1+(Inputs!$D$8/'Project Information'!$B$10))</f>
        <v>398325.4231091371</v>
      </c>
      <c r="E20" s="350">
        <f>E19*(1+(Inputs!$E$8/'Project Information'!$B$10))</f>
        <v>398325.4231091371</v>
      </c>
      <c r="F20" s="350">
        <f>F19*(1+(Inputs!$D$9/'Project Information'!$B$10))</f>
        <v>142585.70802306151</v>
      </c>
      <c r="G20" s="350">
        <f>G19*(1+(Inputs!$E$9/'Project Information'!$B$10))</f>
        <v>146863.27926375336</v>
      </c>
      <c r="H20" s="350">
        <f>H19*(1+(Inputs!$D$10/'Project Information'!$B$10))</f>
        <v>5484.0656931946751</v>
      </c>
      <c r="I20" s="350">
        <f>I19*(1+(Inputs!$E$10/'Project Information'!$B$10))</f>
        <v>5648.5876639905136</v>
      </c>
      <c r="J20" s="41">
        <v>0</v>
      </c>
      <c r="K20" s="41">
        <v>0</v>
      </c>
      <c r="L20" s="41">
        <v>0</v>
      </c>
      <c r="M20" s="41">
        <v>0</v>
      </c>
      <c r="O20" s="13"/>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s="14"/>
    </row>
    <row r="21" spans="1:62" x14ac:dyDescent="0.35">
      <c r="A21" s="1">
        <f>IF(A20&lt;'Project Information'!B$11,A20+1,"")</f>
        <v>2044</v>
      </c>
      <c r="B21" s="350">
        <f>B20*(1+(Inputs!$D$7/'Project Information'!$B$10))</f>
        <v>16922970.84849178</v>
      </c>
      <c r="C21" s="350">
        <f>C20*(1+(Inputs!$E$7/'Project Information'!$B$10))</f>
        <v>16922970.84849178</v>
      </c>
      <c r="D21" s="350">
        <f>D20*(1+(Inputs!$D$8/'Project Information'!$B$10))</f>
        <v>398391.33010779013</v>
      </c>
      <c r="E21" s="350">
        <f>E20*(1+(Inputs!$E$8/'Project Information'!$B$10))</f>
        <v>398391.33010779013</v>
      </c>
      <c r="F21" s="350">
        <f>F20*(1+(Inputs!$D$9/'Project Information'!$B$10))</f>
        <v>142609.3002808523</v>
      </c>
      <c r="G21" s="350">
        <f>G20*(1+(Inputs!$E$9/'Project Information'!$B$10))</f>
        <v>146887.57928927787</v>
      </c>
      <c r="H21" s="350">
        <f>H20*(1+(Inputs!$D$10/'Project Information'!$B$10))</f>
        <v>5484.9730877250904</v>
      </c>
      <c r="I21" s="350">
        <f>I20*(1+(Inputs!$E$10/'Project Information'!$B$10))</f>
        <v>5649.5222803568413</v>
      </c>
      <c r="J21" s="41">
        <v>0</v>
      </c>
      <c r="K21" s="41">
        <v>0</v>
      </c>
      <c r="L21" s="41">
        <v>0</v>
      </c>
      <c r="M21" s="41">
        <v>0</v>
      </c>
      <c r="O21" s="13"/>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s="14"/>
    </row>
    <row r="22" spans="1:62" x14ac:dyDescent="0.35">
      <c r="A22" s="1">
        <f>IF(A21&lt;'Project Information'!B$11,A21+1,"")</f>
        <v>2045</v>
      </c>
      <c r="B22" s="350">
        <f>B21*(1+(Inputs!$D$7/'Project Information'!$B$10))</f>
        <v>16925770.92639846</v>
      </c>
      <c r="C22" s="350">
        <f>C21*(1+(Inputs!$E$7/'Project Information'!$B$10))</f>
        <v>16925770.92639846</v>
      </c>
      <c r="D22" s="350">
        <f>D21*(1+(Inputs!$D$8/'Project Information'!$B$10))</f>
        <v>398457.24801142741</v>
      </c>
      <c r="E22" s="350">
        <f>E21*(1+(Inputs!$E$8/'Project Information'!$B$10))</f>
        <v>398457.24801142741</v>
      </c>
      <c r="F22" s="350">
        <f>F21*(1+(Inputs!$D$9/'Project Information'!$B$10))</f>
        <v>142632.89644222247</v>
      </c>
      <c r="G22" s="350">
        <f>G21*(1+(Inputs!$E$9/'Project Information'!$B$10))</f>
        <v>146911.88333548914</v>
      </c>
      <c r="H22" s="350">
        <f>H21*(1+(Inputs!$D$10/'Project Information'!$B$10))</f>
        <v>5485.8806323931731</v>
      </c>
      <c r="I22" s="350">
        <f>I21*(1+(Inputs!$E$10/'Project Information'!$B$10))</f>
        <v>5650.4570513649669</v>
      </c>
      <c r="J22" s="41">
        <v>0</v>
      </c>
      <c r="K22" s="41">
        <v>0</v>
      </c>
      <c r="L22" s="41">
        <v>0</v>
      </c>
      <c r="M22" s="41">
        <v>0</v>
      </c>
      <c r="O22" s="13"/>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s="14"/>
    </row>
    <row r="23" spans="1:62" x14ac:dyDescent="0.35">
      <c r="A23" s="1">
        <f>IF(A22&lt;'Project Information'!B$11,A22+1,"")</f>
        <v>2046</v>
      </c>
      <c r="B23" s="350">
        <f>B22*(1+(Inputs!$D$7/'Project Information'!$B$10))</f>
        <v>16928571.467606552</v>
      </c>
      <c r="C23" s="350">
        <f>C22*(1+(Inputs!$E$7/'Project Information'!$B$10))</f>
        <v>16928571.467606552</v>
      </c>
      <c r="D23" s="350">
        <f>D22*(1+(Inputs!$D$8/'Project Information'!$B$10))</f>
        <v>398523.17682185327</v>
      </c>
      <c r="E23" s="350">
        <f>E22*(1+(Inputs!$E$8/'Project Information'!$B$10))</f>
        <v>398523.17682185327</v>
      </c>
      <c r="F23" s="350">
        <f>F22*(1+(Inputs!$D$9/'Project Information'!$B$10))</f>
        <v>142656.49650781788</v>
      </c>
      <c r="G23" s="350">
        <f>G22*(1+(Inputs!$E$9/'Project Information'!$B$10))</f>
        <v>146936.19140305242</v>
      </c>
      <c r="H23" s="350">
        <f>H22*(1+(Inputs!$D$10/'Project Information'!$B$10))</f>
        <v>5486.7883272237659</v>
      </c>
      <c r="I23" s="350">
        <f>I22*(1+(Inputs!$E$10/'Project Information'!$B$10))</f>
        <v>5651.3919770404773</v>
      </c>
      <c r="J23" s="41">
        <v>0</v>
      </c>
      <c r="K23" s="41">
        <v>0</v>
      </c>
      <c r="L23" s="41">
        <v>0</v>
      </c>
      <c r="M23" s="41">
        <v>0</v>
      </c>
      <c r="O23" s="1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s="14"/>
    </row>
    <row r="24" spans="1:62" x14ac:dyDescent="0.35">
      <c r="A24" s="1">
        <f>IF(A23&lt;'Project Information'!B$11,A23+1,"")</f>
        <v>2047</v>
      </c>
      <c r="B24" s="350">
        <f>B23*(1+(Inputs!$D$7/'Project Information'!$B$10))</f>
        <v>16931372.472192712</v>
      </c>
      <c r="C24" s="350">
        <f>C23*(1+(Inputs!$E$7/'Project Information'!$B$10))</f>
        <v>16931372.472192712</v>
      </c>
      <c r="D24" s="350">
        <f>D23*(1+(Inputs!$D$8/'Project Information'!$B$10))</f>
        <v>398589.11654087238</v>
      </c>
      <c r="E24" s="350">
        <f>E23*(1+(Inputs!$E$8/'Project Information'!$B$10))</f>
        <v>398589.11654087238</v>
      </c>
      <c r="F24" s="350">
        <f>F23*(1+(Inputs!$D$9/'Project Information'!$B$10))</f>
        <v>142680.10047828453</v>
      </c>
      <c r="G24" s="350">
        <f>G23*(1+(Inputs!$E$9/'Project Information'!$B$10))</f>
        <v>146960.50349263308</v>
      </c>
      <c r="H24" s="350">
        <f>H23*(1+(Inputs!$D$10/'Project Information'!$B$10))</f>
        <v>5487.6961722417136</v>
      </c>
      <c r="I24" s="350">
        <f>I23*(1+(Inputs!$E$10/'Project Information'!$B$10))</f>
        <v>5652.3270574089638</v>
      </c>
      <c r="J24" s="41">
        <v>0</v>
      </c>
      <c r="K24" s="41">
        <v>0</v>
      </c>
      <c r="L24" s="41">
        <v>0</v>
      </c>
      <c r="M24" s="41">
        <v>0</v>
      </c>
      <c r="O24" s="13"/>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s="14"/>
    </row>
    <row r="25" spans="1:62" x14ac:dyDescent="0.35">
      <c r="A25" s="1">
        <f>IF(A24&lt;'Project Information'!B$11,A24+1,"")</f>
        <v>2048</v>
      </c>
      <c r="B25" s="350">
        <f>B24*(1+(Inputs!$D$7/'Project Information'!$B$10))</f>
        <v>16934173.940233614</v>
      </c>
      <c r="C25" s="350">
        <f>C24*(1+(Inputs!$E$7/'Project Information'!$B$10))</f>
        <v>16934173.940233614</v>
      </c>
      <c r="D25" s="350">
        <f>D24*(1+(Inputs!$D$8/'Project Information'!$B$10))</f>
        <v>398655.06717028969</v>
      </c>
      <c r="E25" s="350">
        <f>E24*(1+(Inputs!$E$8/'Project Information'!$B$10))</f>
        <v>398655.06717028969</v>
      </c>
      <c r="F25" s="350">
        <f>F24*(1+(Inputs!$D$9/'Project Information'!$B$10))</f>
        <v>142703.70835426851</v>
      </c>
      <c r="G25" s="350">
        <f>G24*(1+(Inputs!$E$9/'Project Information'!$B$10))</f>
        <v>146984.81960489659</v>
      </c>
      <c r="H25" s="350">
        <f>H24*(1+(Inputs!$D$10/'Project Information'!$B$10))</f>
        <v>5488.6041674718672</v>
      </c>
      <c r="I25" s="350">
        <f>I24*(1+(Inputs!$E$10/'Project Information'!$B$10))</f>
        <v>5653.2622924960224</v>
      </c>
      <c r="J25" s="41">
        <v>0</v>
      </c>
      <c r="K25" s="41">
        <v>0</v>
      </c>
      <c r="L25" s="41">
        <v>0</v>
      </c>
      <c r="M25" s="41">
        <v>0</v>
      </c>
      <c r="O25" s="13"/>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s="14"/>
    </row>
    <row r="26" spans="1:62" x14ac:dyDescent="0.35">
      <c r="A26" s="1">
        <f>IF(A25&lt;'Project Information'!B$11,A25+1,"")</f>
        <v>2049</v>
      </c>
      <c r="B26" s="350">
        <f>B25*(1+(Inputs!$D$7/'Project Information'!$B$10))</f>
        <v>16936975.87180594</v>
      </c>
      <c r="C26" s="350">
        <f>C25*(1+(Inputs!$E$7/'Project Information'!$B$10))</f>
        <v>16936975.87180594</v>
      </c>
      <c r="D26" s="350">
        <f>D25*(1+(Inputs!$D$8/'Project Information'!$B$10))</f>
        <v>398721.02871191042</v>
      </c>
      <c r="E26" s="350">
        <f>E25*(1+(Inputs!$E$8/'Project Information'!$B$10))</f>
        <v>398721.02871191042</v>
      </c>
      <c r="F26" s="350">
        <f>F25*(1+(Inputs!$D$9/'Project Information'!$B$10))</f>
        <v>142727.32013641606</v>
      </c>
      <c r="G26" s="350">
        <f>G25*(1+(Inputs!$E$9/'Project Information'!$B$10))</f>
        <v>147009.13974050857</v>
      </c>
      <c r="H26" s="350">
        <f>H25*(1+(Inputs!$D$10/'Project Information'!$B$10))</f>
        <v>5489.5123129390804</v>
      </c>
      <c r="I26" s="350">
        <f>I25*(1+(Inputs!$E$10/'Project Information'!$B$10))</f>
        <v>5654.1976823272526</v>
      </c>
      <c r="J26" s="41">
        <v>0</v>
      </c>
      <c r="K26" s="41">
        <v>0</v>
      </c>
      <c r="L26" s="41">
        <v>0</v>
      </c>
      <c r="M26" s="41">
        <v>0</v>
      </c>
      <c r="O26" s="13"/>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s="14"/>
    </row>
    <row r="27" spans="1:62" x14ac:dyDescent="0.35">
      <c r="A27" s="1">
        <f>IF(A26&lt;'Project Information'!B$11,A26+1,"")</f>
        <v>2050</v>
      </c>
      <c r="B27" s="350">
        <f>B26*(1+(Inputs!$D$7/'Project Information'!$B$10))</f>
        <v>16939778.266986385</v>
      </c>
      <c r="C27" s="350">
        <f>C26*(1+(Inputs!$E$7/'Project Information'!$B$10))</f>
        <v>16939778.266986385</v>
      </c>
      <c r="D27" s="350">
        <f>D26*(1+(Inputs!$D$8/'Project Information'!$B$10))</f>
        <v>398787.00116754009</v>
      </c>
      <c r="E27" s="350">
        <f>E26*(1+(Inputs!$E$8/'Project Information'!$B$10))</f>
        <v>398787.00116754009</v>
      </c>
      <c r="F27" s="350">
        <f>F26*(1+(Inputs!$D$9/'Project Information'!$B$10))</f>
        <v>142750.93582537348</v>
      </c>
      <c r="G27" s="350">
        <f>G26*(1+(Inputs!$E$9/'Project Information'!$B$10))</f>
        <v>147033.46390013472</v>
      </c>
      <c r="H27" s="350">
        <f>H26*(1+(Inputs!$D$10/'Project Information'!$B$10))</f>
        <v>5490.4206086682125</v>
      </c>
      <c r="I27" s="350">
        <f>I26*(1+(Inputs!$E$10/'Project Information'!$B$10))</f>
        <v>5655.1332269282584</v>
      </c>
      <c r="J27" s="41">
        <v>0</v>
      </c>
      <c r="K27" s="41">
        <v>0</v>
      </c>
      <c r="L27" s="41">
        <v>0</v>
      </c>
      <c r="M27" s="41">
        <v>0</v>
      </c>
      <c r="O27" s="13"/>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s="14"/>
    </row>
    <row r="28" spans="1:62" x14ac:dyDescent="0.35">
      <c r="A28" s="1">
        <f>IF(A27&lt;'Project Information'!B$11,A27+1,"")</f>
        <v>2051</v>
      </c>
      <c r="B28" s="350">
        <f>B27*(1+(Inputs!$D$7/'Project Information'!$B$10))</f>
        <v>16942581.125851657</v>
      </c>
      <c r="C28" s="350">
        <f>C27*(1+(Inputs!$E$7/'Project Information'!$B$10))</f>
        <v>16942581.125851657</v>
      </c>
      <c r="D28" s="350">
        <f>D27*(1+(Inputs!$D$8/'Project Information'!$B$10))</f>
        <v>398852.98453898454</v>
      </c>
      <c r="E28" s="350">
        <f>E27*(1+(Inputs!$E$8/'Project Information'!$B$10))</f>
        <v>398852.98453898454</v>
      </c>
      <c r="F28" s="350">
        <f>F27*(1+(Inputs!$D$9/'Project Information'!$B$10))</f>
        <v>142774.5554217872</v>
      </c>
      <c r="G28" s="350">
        <f>G27*(1+(Inputs!$E$9/'Project Information'!$B$10))</f>
        <v>147057.79208444085</v>
      </c>
      <c r="H28" s="350">
        <f>H27*(1+(Inputs!$D$10/'Project Information'!$B$10))</f>
        <v>5491.3290546841245</v>
      </c>
      <c r="I28" s="350">
        <f>I27*(1+(Inputs!$E$10/'Project Information'!$B$10))</f>
        <v>5656.0689263246477</v>
      </c>
      <c r="J28" s="41">
        <v>0</v>
      </c>
      <c r="K28" s="41">
        <v>0</v>
      </c>
      <c r="L28" s="41">
        <v>0</v>
      </c>
      <c r="M28" s="41">
        <v>0</v>
      </c>
      <c r="O28" s="13"/>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s="14"/>
    </row>
    <row r="29" spans="1:62" x14ac:dyDescent="0.35">
      <c r="A29" s="1">
        <f>IF(A28&lt;'Project Information'!B$11,A28+1,"")</f>
        <v>2052</v>
      </c>
      <c r="B29" s="350">
        <f>B28*(1+(Inputs!$D$7/'Project Information'!$B$10))</f>
        <v>16945384.448478479</v>
      </c>
      <c r="C29" s="350">
        <f>C28*(1+(Inputs!$E$7/'Project Information'!$B$10))</f>
        <v>16945384.448478479</v>
      </c>
      <c r="D29" s="350">
        <f>D28*(1+(Inputs!$D$8/'Project Information'!$B$10))</f>
        <v>398918.97882804996</v>
      </c>
      <c r="E29" s="350">
        <f>E28*(1+(Inputs!$E$8/'Project Information'!$B$10))</f>
        <v>398918.97882804996</v>
      </c>
      <c r="F29" s="350">
        <f>F28*(1+(Inputs!$D$9/'Project Information'!$B$10))</f>
        <v>142798.17892630372</v>
      </c>
      <c r="G29" s="350">
        <f>G28*(1+(Inputs!$E$9/'Project Information'!$B$10))</f>
        <v>147082.12429409288</v>
      </c>
      <c r="H29" s="350">
        <f>H28*(1+(Inputs!$D$10/'Project Information'!$B$10))</f>
        <v>5492.2376510116837</v>
      </c>
      <c r="I29" s="350">
        <f>I28*(1+(Inputs!$E$10/'Project Information'!$B$10))</f>
        <v>5657.0047805420336</v>
      </c>
      <c r="J29" s="41">
        <v>0</v>
      </c>
      <c r="K29" s="41">
        <v>0</v>
      </c>
      <c r="L29" s="41">
        <v>0</v>
      </c>
      <c r="M29" s="41">
        <v>0</v>
      </c>
      <c r="O29" s="13"/>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s="14"/>
    </row>
    <row r="30" spans="1:62" x14ac:dyDescent="0.35">
      <c r="A30" s="1" t="str">
        <f>IF(A29&lt;'Project Information'!B$11,A29+1,"")</f>
        <v/>
      </c>
      <c r="B30" s="41">
        <v>0</v>
      </c>
      <c r="C30" s="41">
        <v>0</v>
      </c>
      <c r="D30" s="41">
        <v>0</v>
      </c>
      <c r="E30" s="41">
        <v>0</v>
      </c>
      <c r="F30" s="41">
        <v>0</v>
      </c>
      <c r="G30" s="41">
        <v>0</v>
      </c>
      <c r="H30" s="41">
        <v>0</v>
      </c>
      <c r="I30" s="41">
        <v>0</v>
      </c>
      <c r="J30" s="41">
        <v>0</v>
      </c>
      <c r="K30" s="41">
        <v>0</v>
      </c>
      <c r="L30" s="41">
        <v>0</v>
      </c>
      <c r="M30" s="41">
        <v>0</v>
      </c>
      <c r="O30" s="13"/>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s="14"/>
    </row>
    <row r="31" spans="1:62" x14ac:dyDescent="0.35">
      <c r="A31" s="1" t="str">
        <f>IF(A30&lt;'Project Information'!B$11,A30+1,"")</f>
        <v/>
      </c>
      <c r="B31" s="41">
        <v>0</v>
      </c>
      <c r="C31" s="41">
        <v>0</v>
      </c>
      <c r="D31" s="41">
        <v>0</v>
      </c>
      <c r="E31" s="41">
        <v>0</v>
      </c>
      <c r="F31" s="41">
        <v>0</v>
      </c>
      <c r="G31" s="41">
        <v>0</v>
      </c>
      <c r="H31" s="41">
        <v>0</v>
      </c>
      <c r="I31" s="41">
        <v>0</v>
      </c>
      <c r="J31" s="41">
        <v>0</v>
      </c>
      <c r="K31" s="41">
        <v>0</v>
      </c>
      <c r="L31" s="41">
        <v>0</v>
      </c>
      <c r="M31" s="41">
        <v>0</v>
      </c>
      <c r="O31" s="13"/>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s="14"/>
    </row>
    <row r="32" spans="1:62" x14ac:dyDescent="0.35">
      <c r="A32" s="1" t="str">
        <f>IF(A31&lt;'Project Information'!B$11,A31+1,"")</f>
        <v/>
      </c>
      <c r="B32" s="41">
        <v>0</v>
      </c>
      <c r="C32" s="41">
        <v>0</v>
      </c>
      <c r="D32" s="41">
        <v>0</v>
      </c>
      <c r="E32" s="41">
        <v>0</v>
      </c>
      <c r="F32" s="41">
        <v>0</v>
      </c>
      <c r="G32" s="41">
        <v>0</v>
      </c>
      <c r="H32" s="41">
        <v>0</v>
      </c>
      <c r="I32" s="41">
        <v>0</v>
      </c>
      <c r="J32" s="41">
        <v>0</v>
      </c>
      <c r="K32" s="41">
        <v>0</v>
      </c>
      <c r="L32" s="41">
        <v>0</v>
      </c>
      <c r="M32" s="41">
        <v>0</v>
      </c>
      <c r="O32" s="13"/>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s="14"/>
    </row>
    <row r="33" spans="1:62" x14ac:dyDescent="0.35">
      <c r="A33" s="1" t="str">
        <f>IF(A32&lt;'Project Information'!B$11,A32+1,"")</f>
        <v/>
      </c>
      <c r="B33" s="41">
        <v>0</v>
      </c>
      <c r="C33" s="41">
        <v>0</v>
      </c>
      <c r="D33" s="41">
        <v>0</v>
      </c>
      <c r="E33" s="41">
        <v>0</v>
      </c>
      <c r="F33" s="41">
        <v>0</v>
      </c>
      <c r="G33" s="41">
        <v>0</v>
      </c>
      <c r="H33" s="41">
        <v>0</v>
      </c>
      <c r="I33" s="41">
        <v>0</v>
      </c>
      <c r="J33" s="41">
        <v>0</v>
      </c>
      <c r="K33" s="41">
        <v>0</v>
      </c>
      <c r="L33" s="41">
        <v>0</v>
      </c>
      <c r="M33" s="41">
        <v>0</v>
      </c>
      <c r="O33" s="1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s="14"/>
    </row>
    <row r="34" spans="1:62" x14ac:dyDescent="0.35">
      <c r="A34" s="1" t="str">
        <f>IF(A33&lt;'Project Information'!B$11,A33+1,"")</f>
        <v/>
      </c>
      <c r="B34" s="41">
        <v>0</v>
      </c>
      <c r="C34" s="41">
        <v>0</v>
      </c>
      <c r="D34" s="41">
        <v>0</v>
      </c>
      <c r="E34" s="41">
        <v>0</v>
      </c>
      <c r="F34" s="41">
        <v>0</v>
      </c>
      <c r="G34" s="41">
        <v>0</v>
      </c>
      <c r="H34" s="41">
        <v>0</v>
      </c>
      <c r="I34" s="41">
        <v>0</v>
      </c>
      <c r="J34" s="41">
        <v>0</v>
      </c>
      <c r="K34" s="41">
        <v>0</v>
      </c>
      <c r="L34" s="41">
        <v>0</v>
      </c>
      <c r="M34" s="41">
        <v>0</v>
      </c>
      <c r="O34" s="13"/>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s="14"/>
    </row>
    <row r="35" spans="1:62" x14ac:dyDescent="0.35">
      <c r="A35" s="1" t="str">
        <f>IF(A34&lt;'Project Information'!B$11,A34+1,"")</f>
        <v/>
      </c>
      <c r="B35" s="41">
        <v>0</v>
      </c>
      <c r="C35" s="41">
        <v>0</v>
      </c>
      <c r="D35" s="41">
        <v>0</v>
      </c>
      <c r="E35" s="41">
        <v>0</v>
      </c>
      <c r="F35" s="41">
        <v>0</v>
      </c>
      <c r="G35" s="41">
        <v>0</v>
      </c>
      <c r="H35" s="41">
        <v>0</v>
      </c>
      <c r="I35" s="41">
        <v>0</v>
      </c>
      <c r="J35" s="41">
        <v>0</v>
      </c>
      <c r="K35" s="41">
        <v>0</v>
      </c>
      <c r="L35" s="41">
        <v>0</v>
      </c>
      <c r="M35" s="41">
        <v>0</v>
      </c>
      <c r="O35" s="13"/>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s="14"/>
    </row>
    <row r="36" spans="1:62" x14ac:dyDescent="0.35">
      <c r="A36" s="1" t="str">
        <f>IF(A35&lt;'Project Information'!B$11,A35+1,"")</f>
        <v/>
      </c>
      <c r="B36" s="41">
        <v>0</v>
      </c>
      <c r="C36" s="41">
        <v>0</v>
      </c>
      <c r="D36" s="41">
        <v>0</v>
      </c>
      <c r="E36" s="41">
        <v>0</v>
      </c>
      <c r="F36" s="41">
        <v>0</v>
      </c>
      <c r="G36" s="41">
        <v>0</v>
      </c>
      <c r="H36" s="41">
        <v>0</v>
      </c>
      <c r="I36" s="41">
        <v>0</v>
      </c>
      <c r="J36" s="41">
        <v>0</v>
      </c>
      <c r="K36" s="41">
        <v>0</v>
      </c>
      <c r="L36" s="41">
        <v>0</v>
      </c>
      <c r="M36" s="41">
        <v>0</v>
      </c>
      <c r="O36" s="13"/>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s="14"/>
    </row>
    <row r="37" spans="1:62" x14ac:dyDescent="0.35">
      <c r="A37" s="1" t="str">
        <f>IF(A36&lt;'Project Information'!B$11,A36+1,"")</f>
        <v/>
      </c>
      <c r="B37" s="41">
        <v>0</v>
      </c>
      <c r="C37" s="41">
        <v>0</v>
      </c>
      <c r="D37" s="41">
        <v>0</v>
      </c>
      <c r="E37" s="41">
        <v>0</v>
      </c>
      <c r="F37" s="41">
        <v>0</v>
      </c>
      <c r="G37" s="41">
        <v>0</v>
      </c>
      <c r="H37" s="41">
        <v>0</v>
      </c>
      <c r="I37" s="41">
        <v>0</v>
      </c>
      <c r="J37" s="41">
        <v>0</v>
      </c>
      <c r="K37" s="41">
        <v>0</v>
      </c>
      <c r="L37" s="41">
        <v>0</v>
      </c>
      <c r="M37" s="41">
        <v>0</v>
      </c>
      <c r="O37" s="13"/>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s="14"/>
    </row>
    <row r="38" spans="1:62" x14ac:dyDescent="0.35">
      <c r="A38" s="1" t="str">
        <f>IF(A37&lt;'Project Information'!B$11,A37+1,"")</f>
        <v/>
      </c>
      <c r="B38" s="41">
        <v>0</v>
      </c>
      <c r="C38" s="41">
        <v>0</v>
      </c>
      <c r="D38" s="41">
        <v>0</v>
      </c>
      <c r="E38" s="41">
        <v>0</v>
      </c>
      <c r="F38" s="41">
        <v>0</v>
      </c>
      <c r="G38" s="41">
        <v>0</v>
      </c>
      <c r="H38" s="41">
        <v>0</v>
      </c>
      <c r="I38" s="41">
        <v>0</v>
      </c>
      <c r="J38" s="41">
        <v>0</v>
      </c>
      <c r="K38" s="41">
        <v>0</v>
      </c>
      <c r="L38" s="41">
        <v>0</v>
      </c>
      <c r="M38" s="41">
        <v>0</v>
      </c>
      <c r="O38" s="13"/>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s="14"/>
    </row>
    <row r="39" spans="1:62" x14ac:dyDescent="0.35">
      <c r="A39" s="1" t="str">
        <f>IF(A38&lt;'Project Information'!B$11,A38+1,"")</f>
        <v/>
      </c>
      <c r="B39" s="41">
        <v>0</v>
      </c>
      <c r="C39" s="41">
        <v>0</v>
      </c>
      <c r="D39" s="41">
        <v>0</v>
      </c>
      <c r="E39" s="41">
        <v>0</v>
      </c>
      <c r="F39" s="41">
        <v>0</v>
      </c>
      <c r="G39" s="41">
        <v>0</v>
      </c>
      <c r="H39" s="41">
        <v>0</v>
      </c>
      <c r="I39" s="41">
        <v>0</v>
      </c>
      <c r="J39" s="41">
        <v>0</v>
      </c>
      <c r="K39" s="41">
        <v>0</v>
      </c>
      <c r="L39" s="41">
        <v>0</v>
      </c>
      <c r="M39" s="41">
        <v>0</v>
      </c>
      <c r="O39" s="13"/>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s="14"/>
    </row>
    <row r="40" spans="1:62" s="5" customFormat="1" x14ac:dyDescent="0.35">
      <c r="O40" s="139"/>
      <c r="BJ40" s="140"/>
    </row>
    <row r="41" spans="1:62" s="5" customFormat="1" x14ac:dyDescent="0.35">
      <c r="O41" s="139"/>
      <c r="BJ41" s="140"/>
    </row>
    <row r="42" spans="1:62" s="5" customFormat="1" x14ac:dyDescent="0.35">
      <c r="O42" s="139"/>
      <c r="BJ42" s="140"/>
    </row>
    <row r="43" spans="1:62" s="5" customFormat="1" x14ac:dyDescent="0.35">
      <c r="O43" s="139"/>
      <c r="BJ43" s="140"/>
    </row>
    <row r="44" spans="1:62" s="5" customFormat="1" x14ac:dyDescent="0.35">
      <c r="O44" s="139"/>
      <c r="BJ44" s="140"/>
    </row>
    <row r="45" spans="1:62" s="5" customFormat="1" x14ac:dyDescent="0.35">
      <c r="O45" s="139"/>
      <c r="BJ45" s="140"/>
    </row>
    <row r="46" spans="1:62" s="5" customFormat="1" x14ac:dyDescent="0.35">
      <c r="O46" s="139"/>
      <c r="BJ46" s="140"/>
    </row>
    <row r="47" spans="1:62" s="5" customFormat="1" x14ac:dyDescent="0.35">
      <c r="O47" s="139"/>
      <c r="BJ47" s="140"/>
    </row>
    <row r="48" spans="1:62" s="5" customFormat="1" ht="15" thickBot="1" x14ac:dyDescent="0.4">
      <c r="O48" s="141"/>
      <c r="P48" s="142"/>
      <c r="Q48" s="142"/>
      <c r="R48" s="142"/>
      <c r="S48" s="142"/>
      <c r="T48" s="142"/>
      <c r="U48" s="142"/>
      <c r="V48" s="142"/>
      <c r="W48" s="142"/>
      <c r="X48" s="142"/>
      <c r="Y48" s="142"/>
      <c r="Z48" s="14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3"/>
    </row>
    <row r="49" s="5" customFormat="1" x14ac:dyDescent="0.35"/>
    <row r="50" s="5" customFormat="1" x14ac:dyDescent="0.35"/>
    <row r="51" s="5" customFormat="1" x14ac:dyDescent="0.35"/>
    <row r="52" s="5" customFormat="1" x14ac:dyDescent="0.35"/>
    <row r="53" s="5" customFormat="1" x14ac:dyDescent="0.35"/>
    <row r="54" s="5" customFormat="1" x14ac:dyDescent="0.35"/>
    <row r="55" s="5" customFormat="1" x14ac:dyDescent="0.35"/>
    <row r="56" s="5" customFormat="1" x14ac:dyDescent="0.35"/>
    <row r="57" s="5" customFormat="1" x14ac:dyDescent="0.35"/>
    <row r="58" s="5" customFormat="1" x14ac:dyDescent="0.35"/>
    <row r="59" s="5" customFormat="1" x14ac:dyDescent="0.35"/>
    <row r="60" s="5" customFormat="1" x14ac:dyDescent="0.35"/>
    <row r="61" s="5" customFormat="1" x14ac:dyDescent="0.35"/>
    <row r="62" s="5" customFormat="1" x14ac:dyDescent="0.35"/>
    <row r="63" s="5" customFormat="1" x14ac:dyDescent="0.35"/>
    <row r="64" s="5" customFormat="1" x14ac:dyDescent="0.35"/>
    <row r="65" s="5" customFormat="1" x14ac:dyDescent="0.35"/>
    <row r="66" s="5" customFormat="1" x14ac:dyDescent="0.35"/>
    <row r="67" s="5" customFormat="1" x14ac:dyDescent="0.35"/>
    <row r="68" s="5" customFormat="1" x14ac:dyDescent="0.35"/>
    <row r="69" s="5" customFormat="1" x14ac:dyDescent="0.35"/>
    <row r="70" s="5" customFormat="1" x14ac:dyDescent="0.35"/>
    <row r="71" s="5" customFormat="1" x14ac:dyDescent="0.35"/>
    <row r="72" s="5" customFormat="1" x14ac:dyDescent="0.35"/>
    <row r="73" s="5" customFormat="1" x14ac:dyDescent="0.35"/>
    <row r="74" s="5" customFormat="1" x14ac:dyDescent="0.35"/>
    <row r="75" s="5" customFormat="1" x14ac:dyDescent="0.35"/>
    <row r="76" s="5" customFormat="1" x14ac:dyDescent="0.35"/>
    <row r="77" s="5" customFormat="1" x14ac:dyDescent="0.35"/>
    <row r="78" s="5" customFormat="1" x14ac:dyDescent="0.35"/>
    <row r="79" s="5" customFormat="1" x14ac:dyDescent="0.35"/>
    <row r="80" s="5" customFormat="1" x14ac:dyDescent="0.35"/>
    <row r="81" s="5" customFormat="1" x14ac:dyDescent="0.35"/>
    <row r="82" s="5" customFormat="1" x14ac:dyDescent="0.35"/>
    <row r="83" s="5" customFormat="1" x14ac:dyDescent="0.35"/>
    <row r="84" s="5" customFormat="1" x14ac:dyDescent="0.35"/>
    <row r="85" s="5" customFormat="1" x14ac:dyDescent="0.35"/>
    <row r="86" s="5" customFormat="1" x14ac:dyDescent="0.35"/>
    <row r="87" s="5" customFormat="1" x14ac:dyDescent="0.35"/>
    <row r="88" s="5" customFormat="1" x14ac:dyDescent="0.35"/>
    <row r="89" s="5" customFormat="1" x14ac:dyDescent="0.35"/>
    <row r="90" s="5" customFormat="1" x14ac:dyDescent="0.35"/>
    <row r="91" s="5" customFormat="1" x14ac:dyDescent="0.35"/>
    <row r="92" s="5" customFormat="1" x14ac:dyDescent="0.35"/>
    <row r="93" s="5" customFormat="1" x14ac:dyDescent="0.35"/>
    <row r="94" s="5" customFormat="1" x14ac:dyDescent="0.35"/>
    <row r="95" s="5" customFormat="1" x14ac:dyDescent="0.35"/>
    <row r="96" s="5" customFormat="1" x14ac:dyDescent="0.35"/>
    <row r="97" s="5" customFormat="1" x14ac:dyDescent="0.35"/>
    <row r="98" s="5" customFormat="1" x14ac:dyDescent="0.35"/>
    <row r="99" s="5" customFormat="1" x14ac:dyDescent="0.35"/>
    <row r="100" s="5" customFormat="1" x14ac:dyDescent="0.35"/>
    <row r="101" s="5" customFormat="1" x14ac:dyDescent="0.35"/>
    <row r="102" s="5" customFormat="1" x14ac:dyDescent="0.35"/>
    <row r="103" s="5" customFormat="1" x14ac:dyDescent="0.35"/>
    <row r="104" s="5" customFormat="1" x14ac:dyDescent="0.35"/>
    <row r="105" s="5" customFormat="1" x14ac:dyDescent="0.35"/>
    <row r="106" s="5" customFormat="1" x14ac:dyDescent="0.35"/>
    <row r="107" s="5" customFormat="1" x14ac:dyDescent="0.35"/>
    <row r="108" s="5" customFormat="1" x14ac:dyDescent="0.35"/>
    <row r="109" s="5" customFormat="1" x14ac:dyDescent="0.35"/>
    <row r="110" s="5" customFormat="1" x14ac:dyDescent="0.35"/>
    <row r="111" s="5" customFormat="1" x14ac:dyDescent="0.35"/>
    <row r="112" s="5" customFormat="1" x14ac:dyDescent="0.35"/>
    <row r="113" s="5" customFormat="1" x14ac:dyDescent="0.35"/>
    <row r="114" s="5" customFormat="1" x14ac:dyDescent="0.35"/>
    <row r="115" s="5" customFormat="1" x14ac:dyDescent="0.35"/>
    <row r="116" s="5" customFormat="1" x14ac:dyDescent="0.35"/>
    <row r="117" s="5" customFormat="1" x14ac:dyDescent="0.35"/>
    <row r="118" s="5" customFormat="1" x14ac:dyDescent="0.35"/>
    <row r="119" s="5" customFormat="1" x14ac:dyDescent="0.35"/>
    <row r="120" s="5" customFormat="1" x14ac:dyDescent="0.35"/>
    <row r="121" s="5" customFormat="1" x14ac:dyDescent="0.35"/>
    <row r="122" s="5" customFormat="1" x14ac:dyDescent="0.35"/>
    <row r="123" s="5" customFormat="1" x14ac:dyDescent="0.35"/>
    <row r="124" s="5" customFormat="1" x14ac:dyDescent="0.35"/>
    <row r="125" s="5" customFormat="1" x14ac:dyDescent="0.35"/>
    <row r="126" s="5" customFormat="1" x14ac:dyDescent="0.35"/>
    <row r="127" s="5" customFormat="1" x14ac:dyDescent="0.35"/>
    <row r="128" s="5" customFormat="1" x14ac:dyDescent="0.35"/>
    <row r="129" s="5" customFormat="1" x14ac:dyDescent="0.35"/>
    <row r="130" s="5" customFormat="1" x14ac:dyDescent="0.35"/>
    <row r="131" s="5" customFormat="1" x14ac:dyDescent="0.35"/>
    <row r="132" s="5" customFormat="1" x14ac:dyDescent="0.35"/>
    <row r="133" s="5" customFormat="1" x14ac:dyDescent="0.35"/>
    <row r="134" s="5" customFormat="1" x14ac:dyDescent="0.35"/>
    <row r="135" s="5" customFormat="1" x14ac:dyDescent="0.35"/>
    <row r="136" s="5" customFormat="1" x14ac:dyDescent="0.35"/>
    <row r="137" s="5" customFormat="1" x14ac:dyDescent="0.35"/>
    <row r="138" s="5" customFormat="1" x14ac:dyDescent="0.35"/>
    <row r="139" s="5" customFormat="1" x14ac:dyDescent="0.35"/>
    <row r="140" s="5" customFormat="1" x14ac:dyDescent="0.35"/>
    <row r="141" s="5" customFormat="1" x14ac:dyDescent="0.35"/>
    <row r="142" s="5" customFormat="1" x14ac:dyDescent="0.35"/>
    <row r="143" s="5" customFormat="1" x14ac:dyDescent="0.35"/>
    <row r="144" s="5" customFormat="1" x14ac:dyDescent="0.35"/>
    <row r="145" s="5" customFormat="1" x14ac:dyDescent="0.35"/>
    <row r="146" s="5" customFormat="1" x14ac:dyDescent="0.35"/>
    <row r="147" s="5" customFormat="1" x14ac:dyDescent="0.35"/>
    <row r="148" s="5" customFormat="1" x14ac:dyDescent="0.35"/>
    <row r="149" s="5" customFormat="1" x14ac:dyDescent="0.35"/>
    <row r="150" s="5" customFormat="1" x14ac:dyDescent="0.35"/>
    <row r="151" s="5" customFormat="1" x14ac:dyDescent="0.35"/>
    <row r="152" s="5" customFormat="1" x14ac:dyDescent="0.35"/>
    <row r="153" s="5" customFormat="1" x14ac:dyDescent="0.35"/>
    <row r="154" s="5" customFormat="1" x14ac:dyDescent="0.35"/>
    <row r="155" s="5" customFormat="1" x14ac:dyDescent="0.35"/>
    <row r="156" s="5" customFormat="1" x14ac:dyDescent="0.35"/>
    <row r="157" s="5" customFormat="1" x14ac:dyDescent="0.35"/>
    <row r="158" s="5" customFormat="1" x14ac:dyDescent="0.35"/>
    <row r="159" s="5" customFormat="1" x14ac:dyDescent="0.35"/>
    <row r="160" s="5" customFormat="1" x14ac:dyDescent="0.35"/>
    <row r="161" s="5" customFormat="1" x14ac:dyDescent="0.35"/>
    <row r="162" s="5" customFormat="1" x14ac:dyDescent="0.35"/>
    <row r="163" s="5" customFormat="1" x14ac:dyDescent="0.35"/>
    <row r="164" s="5" customFormat="1" x14ac:dyDescent="0.35"/>
    <row r="165" s="5" customFormat="1" x14ac:dyDescent="0.35"/>
    <row r="166" s="5" customFormat="1" x14ac:dyDescent="0.35"/>
    <row r="167" s="5" customFormat="1" x14ac:dyDescent="0.35"/>
    <row r="168" s="5" customFormat="1" x14ac:dyDescent="0.35"/>
    <row r="169" s="5" customFormat="1" x14ac:dyDescent="0.35"/>
    <row r="170" s="5" customFormat="1" x14ac:dyDescent="0.35"/>
    <row r="171" s="5" customFormat="1" x14ac:dyDescent="0.35"/>
    <row r="172" s="5" customFormat="1" x14ac:dyDescent="0.35"/>
    <row r="173" s="5" customFormat="1" x14ac:dyDescent="0.35"/>
    <row r="174" s="5" customFormat="1" x14ac:dyDescent="0.35"/>
    <row r="175" s="5" customFormat="1" x14ac:dyDescent="0.35"/>
    <row r="176" s="5" customFormat="1" x14ac:dyDescent="0.35"/>
    <row r="177" s="5" customFormat="1" x14ac:dyDescent="0.35"/>
    <row r="178" s="5" customFormat="1" x14ac:dyDescent="0.35"/>
    <row r="179" s="5" customFormat="1" x14ac:dyDescent="0.35"/>
    <row r="180" s="5" customFormat="1" x14ac:dyDescent="0.35"/>
    <row r="181" s="5" customFormat="1" x14ac:dyDescent="0.35"/>
    <row r="182" s="5" customFormat="1" x14ac:dyDescent="0.35"/>
    <row r="183" s="5" customFormat="1" x14ac:dyDescent="0.35"/>
    <row r="184" s="5" customFormat="1" x14ac:dyDescent="0.35"/>
    <row r="185" s="5" customFormat="1" x14ac:dyDescent="0.35"/>
    <row r="186" s="5" customFormat="1" x14ac:dyDescent="0.35"/>
    <row r="187" s="5" customFormat="1" x14ac:dyDescent="0.35"/>
    <row r="188" s="5" customFormat="1" x14ac:dyDescent="0.35"/>
    <row r="189" s="5" customFormat="1" x14ac:dyDescent="0.35"/>
    <row r="190" s="5" customFormat="1" x14ac:dyDescent="0.35"/>
    <row r="191" s="5" customFormat="1" x14ac:dyDescent="0.35"/>
    <row r="192" s="5" customFormat="1" x14ac:dyDescent="0.35"/>
    <row r="193" s="5" customFormat="1" x14ac:dyDescent="0.35"/>
    <row r="194" s="5" customFormat="1" x14ac:dyDescent="0.35"/>
    <row r="195" s="5" customFormat="1" x14ac:dyDescent="0.35"/>
    <row r="196" s="5" customFormat="1" x14ac:dyDescent="0.35"/>
    <row r="197" s="5" customFormat="1" x14ac:dyDescent="0.35"/>
    <row r="198" s="5" customFormat="1" x14ac:dyDescent="0.35"/>
    <row r="199" s="5" customFormat="1" x14ac:dyDescent="0.35"/>
    <row r="200" s="5" customFormat="1" x14ac:dyDescent="0.35"/>
    <row r="201" s="5" customFormat="1" x14ac:dyDescent="0.35"/>
    <row r="202" s="5" customFormat="1" x14ac:dyDescent="0.35"/>
    <row r="203" s="5" customFormat="1" x14ac:dyDescent="0.35"/>
    <row r="204" s="5" customFormat="1" x14ac:dyDescent="0.35"/>
    <row r="205" s="5" customFormat="1" x14ac:dyDescent="0.35"/>
    <row r="206" s="5" customFormat="1" x14ac:dyDescent="0.35"/>
    <row r="207" s="5" customFormat="1" x14ac:dyDescent="0.35"/>
    <row r="208" s="5" customFormat="1" x14ac:dyDescent="0.35"/>
    <row r="209" s="5" customFormat="1" x14ac:dyDescent="0.35"/>
    <row r="210" s="5" customFormat="1" x14ac:dyDescent="0.35"/>
    <row r="211" s="5" customFormat="1" x14ac:dyDescent="0.35"/>
    <row r="212" s="5" customFormat="1" x14ac:dyDescent="0.35"/>
    <row r="213" s="5" customFormat="1" x14ac:dyDescent="0.35"/>
    <row r="214" s="5" customFormat="1" x14ac:dyDescent="0.35"/>
    <row r="215" s="5" customFormat="1" x14ac:dyDescent="0.35"/>
    <row r="216" s="5" customFormat="1" x14ac:dyDescent="0.35"/>
    <row r="217" s="5" customFormat="1" x14ac:dyDescent="0.35"/>
    <row r="218" s="5" customFormat="1" x14ac:dyDescent="0.35"/>
    <row r="219" s="5" customFormat="1" x14ac:dyDescent="0.35"/>
    <row r="220" s="5" customFormat="1" x14ac:dyDescent="0.35"/>
    <row r="221" s="5" customFormat="1" x14ac:dyDescent="0.35"/>
    <row r="222" s="5" customFormat="1" x14ac:dyDescent="0.35"/>
    <row r="223" s="5" customFormat="1" x14ac:dyDescent="0.35"/>
    <row r="224" s="5" customFormat="1" x14ac:dyDescent="0.35"/>
    <row r="225" s="5" customFormat="1" x14ac:dyDescent="0.35"/>
    <row r="226" s="5" customFormat="1" x14ac:dyDescent="0.35"/>
    <row r="227" s="5" customFormat="1" x14ac:dyDescent="0.35"/>
    <row r="228" s="5" customFormat="1" x14ac:dyDescent="0.35"/>
    <row r="229" s="5" customFormat="1" x14ac:dyDescent="0.35"/>
    <row r="230" s="5" customFormat="1" x14ac:dyDescent="0.35"/>
    <row r="231" s="5" customFormat="1" x14ac:dyDescent="0.35"/>
    <row r="232" s="5" customFormat="1" x14ac:dyDescent="0.35"/>
    <row r="233" s="5" customFormat="1" x14ac:dyDescent="0.35"/>
    <row r="234" s="5" customFormat="1" x14ac:dyDescent="0.35"/>
    <row r="235" s="5" customFormat="1" x14ac:dyDescent="0.35"/>
    <row r="236" s="5" customFormat="1" x14ac:dyDescent="0.35"/>
    <row r="237" s="5" customFormat="1" x14ac:dyDescent="0.35"/>
    <row r="238" s="5" customFormat="1" x14ac:dyDescent="0.35"/>
    <row r="239" s="5" customFormat="1" x14ac:dyDescent="0.35"/>
    <row r="240" s="5" customFormat="1" x14ac:dyDescent="0.35"/>
    <row r="241" s="5" customFormat="1" x14ac:dyDescent="0.35"/>
    <row r="242" s="5" customFormat="1" x14ac:dyDescent="0.35"/>
    <row r="243" s="5" customFormat="1" x14ac:dyDescent="0.35"/>
    <row r="244" s="5" customFormat="1" x14ac:dyDescent="0.35"/>
    <row r="245" s="5" customFormat="1" x14ac:dyDescent="0.35"/>
    <row r="246" s="5" customFormat="1" x14ac:dyDescent="0.35"/>
  </sheetData>
  <mergeCells count="6">
    <mergeCell ref="L8:M8"/>
    <mergeCell ref="B8:C8"/>
    <mergeCell ref="D8:E8"/>
    <mergeCell ref="F8:G8"/>
    <mergeCell ref="H8:I8"/>
    <mergeCell ref="J8:K8"/>
  </mergeCells>
  <conditionalFormatting sqref="B10:M39">
    <cfRule type="expression" dxfId="21" priority="1">
      <formula>$A10=""</formula>
    </cfRule>
  </conditionalFormatting>
  <pageMargins left="0.7" right="0.7" top="0.75" bottom="0.75" header="0.3" footer="0.3"/>
  <pageSetup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8DA14-991A-493F-93C3-AEC1A08F7635}">
  <sheetPr>
    <tabColor theme="4" tint="0.79998168889431442"/>
  </sheetPr>
  <dimension ref="A1:H29"/>
  <sheetViews>
    <sheetView showGridLines="0" workbookViewId="0"/>
  </sheetViews>
  <sheetFormatPr defaultRowHeight="14.5" outlineLevelRow="1" x14ac:dyDescent="0.35"/>
  <cols>
    <col min="1" max="1" width="31.26953125" style="226" customWidth="1"/>
    <col min="2" max="2" width="12.453125" style="453" bestFit="1" customWidth="1"/>
    <col min="3" max="3" width="2.7265625" style="226" customWidth="1"/>
    <col min="4" max="4" width="19.54296875" style="226" bestFit="1" customWidth="1"/>
    <col min="5" max="5" width="13.26953125" style="453" customWidth="1"/>
    <col min="6" max="6" width="2.7265625" style="226" customWidth="1"/>
    <col min="7" max="7" width="19.1796875" style="226" bestFit="1" customWidth="1"/>
    <col min="8" max="8" width="7" style="453" bestFit="1" customWidth="1"/>
    <col min="9" max="9" width="8.7265625" style="226"/>
    <col min="10" max="10" width="23.26953125" style="226" bestFit="1" customWidth="1"/>
    <col min="11" max="11" width="10" style="226" bestFit="1" customWidth="1"/>
    <col min="12" max="16384" width="8.7265625" style="226"/>
  </cols>
  <sheetData>
    <row r="1" spans="1:8" x14ac:dyDescent="0.35">
      <c r="A1" s="234" t="s">
        <v>1683</v>
      </c>
      <c r="B1" s="449"/>
      <c r="C1" s="450"/>
      <c r="D1" s="450"/>
      <c r="E1" s="449"/>
      <c r="F1" s="450"/>
      <c r="G1" s="450"/>
      <c r="H1" s="451"/>
    </row>
    <row r="2" spans="1:8" ht="2" customHeight="1" x14ac:dyDescent="0.35">
      <c r="A2" s="452"/>
      <c r="H2" s="454"/>
    </row>
    <row r="3" spans="1:8" ht="53.5" customHeight="1" x14ac:dyDescent="0.35">
      <c r="A3" s="569" t="s">
        <v>1689</v>
      </c>
      <c r="B3" s="570"/>
      <c r="C3" s="570"/>
      <c r="D3" s="570"/>
      <c r="E3" s="570"/>
      <c r="F3" s="570"/>
      <c r="G3" s="570"/>
      <c r="H3" s="571"/>
    </row>
    <row r="4" spans="1:8" ht="2" customHeight="1" x14ac:dyDescent="0.35">
      <c r="A4" s="229"/>
      <c r="H4" s="454"/>
    </row>
    <row r="5" spans="1:8" ht="15" hidden="1" outlineLevel="1" thickBot="1" x14ac:dyDescent="0.4">
      <c r="A5" s="568" t="s">
        <v>1599</v>
      </c>
      <c r="B5" s="566"/>
      <c r="C5" s="456"/>
      <c r="D5" s="566" t="s">
        <v>1601</v>
      </c>
      <c r="E5" s="566"/>
      <c r="F5" s="456"/>
      <c r="G5" s="566" t="s">
        <v>1600</v>
      </c>
      <c r="H5" s="567"/>
    </row>
    <row r="6" spans="1:8" ht="15" hidden="1" outlineLevel="1" thickBot="1" x14ac:dyDescent="0.4">
      <c r="A6" s="457" t="s">
        <v>1560</v>
      </c>
      <c r="B6" s="458" t="s">
        <v>1561</v>
      </c>
      <c r="C6" s="455"/>
      <c r="D6" s="459" t="s">
        <v>1560</v>
      </c>
      <c r="E6" s="458" t="s">
        <v>1561</v>
      </c>
      <c r="F6" s="455"/>
      <c r="G6" s="460" t="s">
        <v>1560</v>
      </c>
      <c r="H6" s="461" t="s">
        <v>1561</v>
      </c>
    </row>
    <row r="7" spans="1:8" hidden="1" outlineLevel="1" x14ac:dyDescent="0.35">
      <c r="A7" s="462" t="s">
        <v>1563</v>
      </c>
      <c r="B7" s="463">
        <v>40</v>
      </c>
      <c r="D7" s="464" t="s">
        <v>1564</v>
      </c>
      <c r="E7" s="465">
        <v>127</v>
      </c>
      <c r="G7" s="466" t="s">
        <v>1562</v>
      </c>
      <c r="H7" s="467">
        <v>14970</v>
      </c>
    </row>
    <row r="8" spans="1:8" hidden="1" outlineLevel="1" x14ac:dyDescent="0.35">
      <c r="A8" s="468" t="s">
        <v>1566</v>
      </c>
      <c r="B8" s="469">
        <v>323</v>
      </c>
      <c r="D8" s="470" t="s">
        <v>1567</v>
      </c>
      <c r="E8" s="471">
        <v>128</v>
      </c>
      <c r="G8" s="472" t="s">
        <v>1565</v>
      </c>
      <c r="H8" s="473">
        <v>12893</v>
      </c>
    </row>
    <row r="9" spans="1:8" hidden="1" outlineLevel="1" x14ac:dyDescent="0.35">
      <c r="A9" s="468" t="s">
        <v>1569</v>
      </c>
      <c r="B9" s="469">
        <v>554</v>
      </c>
      <c r="D9" s="470" t="s">
        <v>1570</v>
      </c>
      <c r="E9" s="471">
        <v>318</v>
      </c>
      <c r="G9" s="472" t="s">
        <v>1568</v>
      </c>
      <c r="H9" s="473">
        <v>186</v>
      </c>
    </row>
    <row r="10" spans="1:8" hidden="1" outlineLevel="1" x14ac:dyDescent="0.35">
      <c r="A10" s="468" t="s">
        <v>1572</v>
      </c>
      <c r="B10" s="469">
        <v>103</v>
      </c>
      <c r="D10" s="470" t="s">
        <v>1573</v>
      </c>
      <c r="E10" s="471">
        <v>127</v>
      </c>
      <c r="G10" s="472" t="s">
        <v>1571</v>
      </c>
      <c r="H10" s="473">
        <v>460</v>
      </c>
    </row>
    <row r="11" spans="1:8" hidden="1" outlineLevel="1" x14ac:dyDescent="0.35">
      <c r="A11" s="468" t="s">
        <v>1575</v>
      </c>
      <c r="B11" s="469">
        <v>1667</v>
      </c>
      <c r="D11" s="470" t="s">
        <v>1576</v>
      </c>
      <c r="E11" s="471">
        <v>325</v>
      </c>
      <c r="G11" s="472" t="s">
        <v>1574</v>
      </c>
      <c r="H11" s="473">
        <v>227</v>
      </c>
    </row>
    <row r="12" spans="1:8" hidden="1" outlineLevel="1" x14ac:dyDescent="0.35">
      <c r="A12" s="468" t="s">
        <v>1577</v>
      </c>
      <c r="B12" s="469">
        <v>5160</v>
      </c>
      <c r="D12" s="470" t="s">
        <v>1578</v>
      </c>
      <c r="E12" s="471">
        <v>546</v>
      </c>
      <c r="G12" s="472" t="s">
        <v>1575</v>
      </c>
      <c r="H12" s="473">
        <v>1170</v>
      </c>
    </row>
    <row r="13" spans="1:8" ht="15" hidden="1" outlineLevel="1" thickBot="1" x14ac:dyDescent="0.4">
      <c r="A13" s="468" t="s">
        <v>1580</v>
      </c>
      <c r="B13" s="469">
        <f>7250+7630</f>
        <v>14880</v>
      </c>
      <c r="D13" s="474" t="s">
        <v>1581</v>
      </c>
      <c r="E13" s="475">
        <v>755</v>
      </c>
      <c r="G13" s="472" t="s">
        <v>1579</v>
      </c>
      <c r="H13" s="473">
        <v>1082</v>
      </c>
    </row>
    <row r="14" spans="1:8" hidden="1" outlineLevel="1" x14ac:dyDescent="0.35">
      <c r="A14" s="468" t="s">
        <v>1583</v>
      </c>
      <c r="B14" s="469">
        <f>5105*2</f>
        <v>10210</v>
      </c>
      <c r="D14" s="476" t="s">
        <v>1584</v>
      </c>
      <c r="E14" s="477">
        <f>SUM(E7:E13)</f>
        <v>2326</v>
      </c>
      <c r="G14" s="472" t="s">
        <v>1582</v>
      </c>
      <c r="H14" s="473">
        <v>54</v>
      </c>
    </row>
    <row r="15" spans="1:8" ht="15" hidden="1" outlineLevel="1" thickBot="1" x14ac:dyDescent="0.4">
      <c r="A15" s="468" t="s">
        <v>1586</v>
      </c>
      <c r="B15" s="478">
        <v>287</v>
      </c>
      <c r="G15" s="472" t="s">
        <v>1585</v>
      </c>
      <c r="H15" s="473">
        <v>1779</v>
      </c>
    </row>
    <row r="16" spans="1:8" ht="15" hidden="1" outlineLevel="1" thickBot="1" x14ac:dyDescent="0.4">
      <c r="A16" s="468" t="s">
        <v>1588</v>
      </c>
      <c r="B16" s="469">
        <v>120</v>
      </c>
      <c r="D16" s="460" t="s">
        <v>1589</v>
      </c>
      <c r="E16" s="459" t="s">
        <v>1561</v>
      </c>
      <c r="G16" s="472" t="s">
        <v>1587</v>
      </c>
      <c r="H16" s="473">
        <v>992</v>
      </c>
    </row>
    <row r="17" spans="1:8" ht="15" hidden="1" outlineLevel="1" thickBot="1" x14ac:dyDescent="0.4">
      <c r="A17" s="468" t="s">
        <v>1591</v>
      </c>
      <c r="B17" s="469">
        <v>73</v>
      </c>
      <c r="D17" s="479" t="s">
        <v>1592</v>
      </c>
      <c r="E17" s="480">
        <v>147</v>
      </c>
      <c r="G17" s="472" t="s">
        <v>1590</v>
      </c>
      <c r="H17" s="473">
        <v>1080</v>
      </c>
    </row>
    <row r="18" spans="1:8" hidden="1" outlineLevel="1" x14ac:dyDescent="0.35">
      <c r="A18" s="468" t="s">
        <v>1594</v>
      </c>
      <c r="B18" s="469">
        <v>1200</v>
      </c>
      <c r="G18" s="472" t="s">
        <v>1593</v>
      </c>
      <c r="H18" s="473">
        <v>1257</v>
      </c>
    </row>
    <row r="19" spans="1:8" ht="15" hidden="1" outlineLevel="1" thickBot="1" x14ac:dyDescent="0.4">
      <c r="A19" s="481" t="s">
        <v>1596</v>
      </c>
      <c r="B19" s="482">
        <v>11140</v>
      </c>
      <c r="G19" s="483" t="s">
        <v>1595</v>
      </c>
      <c r="H19" s="484">
        <f>4922+4370</f>
        <v>9292</v>
      </c>
    </row>
    <row r="20" spans="1:8" hidden="1" outlineLevel="1" x14ac:dyDescent="0.35">
      <c r="A20" s="476" t="s">
        <v>19</v>
      </c>
      <c r="B20" s="477">
        <f>SUM(B7:B19)</f>
        <v>45757</v>
      </c>
      <c r="G20" s="476" t="s">
        <v>1584</v>
      </c>
      <c r="H20" s="477">
        <f>SUM(H7:H19)</f>
        <v>45442</v>
      </c>
    </row>
    <row r="21" spans="1:8" ht="15" hidden="1" outlineLevel="1" thickBot="1" x14ac:dyDescent="0.4">
      <c r="A21" s="229"/>
      <c r="B21" s="485"/>
      <c r="H21" s="454"/>
    </row>
    <row r="22" spans="1:8" ht="15" hidden="1" outlineLevel="1" thickBot="1" x14ac:dyDescent="0.4">
      <c r="A22" s="457" t="s">
        <v>1589</v>
      </c>
      <c r="B22" s="458" t="s">
        <v>1561</v>
      </c>
      <c r="H22" s="454"/>
    </row>
    <row r="23" spans="1:8" hidden="1" outlineLevel="1" x14ac:dyDescent="0.35">
      <c r="A23" s="462" t="s">
        <v>1597</v>
      </c>
      <c r="B23" s="465">
        <v>460</v>
      </c>
      <c r="C23" s="227"/>
      <c r="D23" s="227"/>
      <c r="E23" s="486"/>
      <c r="F23" s="227"/>
      <c r="G23" s="227"/>
      <c r="H23" s="487"/>
    </row>
    <row r="24" spans="1:8" hidden="1" outlineLevel="1" x14ac:dyDescent="0.35"/>
    <row r="25" spans="1:8" ht="15" collapsed="1" thickBot="1" x14ac:dyDescent="0.4">
      <c r="A25" s="232" t="s">
        <v>1688</v>
      </c>
      <c r="B25" s="496"/>
      <c r="C25" s="232"/>
      <c r="D25" s="232"/>
      <c r="E25" s="496"/>
      <c r="F25" s="232"/>
      <c r="G25" s="232"/>
      <c r="H25" s="496"/>
    </row>
    <row r="26" spans="1:8" x14ac:dyDescent="0.35">
      <c r="A26" s="498" t="s">
        <v>1684</v>
      </c>
      <c r="B26" s="488">
        <f>SUM(B20,H20,E14)</f>
        <v>93525</v>
      </c>
      <c r="C26" s="489"/>
      <c r="D26" s="489"/>
      <c r="E26" s="490"/>
      <c r="F26" s="489"/>
      <c r="G26" s="489"/>
      <c r="H26" s="491"/>
    </row>
    <row r="27" spans="1:8" x14ac:dyDescent="0.35">
      <c r="A27" s="499" t="s">
        <v>1685</v>
      </c>
      <c r="B27" s="492">
        <f>(B26/2)+B23+E17</f>
        <v>47369.5</v>
      </c>
      <c r="C27" s="493"/>
      <c r="D27" s="572" t="s">
        <v>1687</v>
      </c>
      <c r="E27" s="572"/>
      <c r="F27" s="572"/>
      <c r="G27" s="572"/>
      <c r="H27" s="573"/>
    </row>
    <row r="28" spans="1:8" ht="28" customHeight="1" thickBot="1" x14ac:dyDescent="0.4">
      <c r="A28" s="500" t="s">
        <v>1686</v>
      </c>
      <c r="B28" s="494">
        <f>B27*0.023</f>
        <v>1089.4984999999999</v>
      </c>
      <c r="C28" s="495"/>
      <c r="D28" s="564" t="s">
        <v>1693</v>
      </c>
      <c r="E28" s="564"/>
      <c r="F28" s="564"/>
      <c r="G28" s="564"/>
      <c r="H28" s="565"/>
    </row>
    <row r="29" spans="1:8" x14ac:dyDescent="0.35">
      <c r="D29" s="453"/>
    </row>
  </sheetData>
  <mergeCells count="6">
    <mergeCell ref="D28:H28"/>
    <mergeCell ref="G5:H5"/>
    <mergeCell ref="A5:B5"/>
    <mergeCell ref="D5:E5"/>
    <mergeCell ref="A3:H3"/>
    <mergeCell ref="D27:H2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F280EE709480C4A814056404C03C755" ma:contentTypeVersion="13" ma:contentTypeDescription="Create a new document." ma:contentTypeScope="" ma:versionID="8b9c765f856e7a809359204b9c4f061d">
  <xsd:schema xmlns:xsd="http://www.w3.org/2001/XMLSchema" xmlns:xs="http://www.w3.org/2001/XMLSchema" xmlns:p="http://schemas.microsoft.com/office/2006/metadata/properties" xmlns:ns2="1105510d-043a-4047-872e-83a0db36d0ca" xmlns:ns3="b3517f6a-f444-4614-af0d-96020a84cc07" targetNamespace="http://schemas.microsoft.com/office/2006/metadata/properties" ma:root="true" ma:fieldsID="58fb3f7929d7c5e21f899c3dfc872417" ns2:_="" ns3:_="">
    <xsd:import namespace="1105510d-043a-4047-872e-83a0db36d0ca"/>
    <xsd:import namespace="b3517f6a-f444-4614-af0d-96020a84cc0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05510d-043a-4047-872e-83a0db36d0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ddd0feca-3926-49d8-aff6-3a45e16c693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517f6a-f444-4614-af0d-96020a84cc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030257e-0afb-438f-a11b-234e3b5f42d8}" ma:internalName="TaxCatchAll" ma:showField="CatchAllData" ma:web="b3517f6a-f444-4614-af0d-96020a84cc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105510d-043a-4047-872e-83a0db36d0ca">
      <Terms xmlns="http://schemas.microsoft.com/office/infopath/2007/PartnerControls"/>
    </lcf76f155ced4ddcb4097134ff3c332f>
    <TaxCatchAll xmlns="b3517f6a-f444-4614-af0d-96020a84cc07" xsi:nil="true"/>
  </documentManagement>
</p:properties>
</file>

<file path=customXml/itemProps1.xml><?xml version="1.0" encoding="utf-8"?>
<ds:datastoreItem xmlns:ds="http://schemas.openxmlformats.org/officeDocument/2006/customXml" ds:itemID="{D1040B2A-D422-4E95-B9D7-089FB57FF419}">
  <ds:schemaRefs>
    <ds:schemaRef ds:uri="http://schemas.microsoft.com/sharepoint/v3/contenttype/forms"/>
  </ds:schemaRefs>
</ds:datastoreItem>
</file>

<file path=customXml/itemProps2.xml><?xml version="1.0" encoding="utf-8"?>
<ds:datastoreItem xmlns:ds="http://schemas.openxmlformats.org/officeDocument/2006/customXml" ds:itemID="{0678FDBB-2FF3-4EDB-98E0-D02BB789C8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05510d-043a-4047-872e-83a0db36d0ca"/>
    <ds:schemaRef ds:uri="b3517f6a-f444-4614-af0d-96020a84cc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554C5F-0AC3-41EE-B214-68026C72E4FC}">
  <ds:schemaRefs>
    <ds:schemaRef ds:uri="http://schemas.microsoft.com/office/2006/metadata/properties"/>
    <ds:schemaRef ds:uri="http://schemas.microsoft.com/office/infopath/2007/PartnerControls"/>
    <ds:schemaRef ds:uri="1105510d-043a-4047-872e-83a0db36d0ca"/>
    <ds:schemaRef ds:uri="b3517f6a-f444-4614-af0d-96020a84cc0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3</vt:i4>
      </vt:variant>
    </vt:vector>
  </HeadingPairs>
  <TitlesOfParts>
    <vt:vector size="31" baseType="lpstr">
      <vt:lpstr>Overview</vt:lpstr>
      <vt:lpstr>Inputs</vt:lpstr>
      <vt:lpstr>Outputs</vt:lpstr>
      <vt:lpstr>Summary</vt:lpstr>
      <vt:lpstr>Final Results</vt:lpstr>
      <vt:lpstr>Project Information</vt:lpstr>
      <vt:lpstr>Parameter Values</vt:lpstr>
      <vt:lpstr>User Volumes</vt:lpstr>
      <vt:lpstr>Vehicle_Volumes_by_FocusArea</vt:lpstr>
      <vt:lpstr>Maine_Population_Data</vt:lpstr>
      <vt:lpstr>Capital Costs</vt:lpstr>
      <vt:lpstr>Project Budget</vt:lpstr>
      <vt:lpstr>Operations and Maintenance</vt:lpstr>
      <vt:lpstr>Safety</vt:lpstr>
      <vt:lpstr>CMFs_by_FocusArea</vt:lpstr>
      <vt:lpstr>CrashData_Summary_by_FocusArea</vt:lpstr>
      <vt:lpstr>CrashData_Table</vt:lpstr>
      <vt:lpstr>Travel Time Savings</vt:lpstr>
      <vt:lpstr>Vehicle Operating Cost Savings</vt:lpstr>
      <vt:lpstr>Emissions Reduction</vt:lpstr>
      <vt:lpstr>Other Highway Use Externalities</vt:lpstr>
      <vt:lpstr>Amenity Benefits</vt:lpstr>
      <vt:lpstr>Health Benefits</vt:lpstr>
      <vt:lpstr>Residual Value</vt:lpstr>
      <vt:lpstr>Other Benefit 1</vt:lpstr>
      <vt:lpstr>Other Benefit 2</vt:lpstr>
      <vt:lpstr>Other Benefit 3</vt:lpstr>
      <vt:lpstr>Other Benefit 4</vt:lpstr>
      <vt:lpstr>CMFs_by_FocusArea!_ftnref1</vt:lpstr>
      <vt:lpstr>Maine_Population_Data!Print_Area</vt:lpstr>
      <vt:lpstr>Maine_Population_Data!Print_Titles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Riesenberg, Jordan (OST)</dc:creator>
  <cp:lastModifiedBy>Paul Newtson</cp:lastModifiedBy>
  <dcterms:created xsi:type="dcterms:W3CDTF">2023-03-14T14:10:51Z</dcterms:created>
  <dcterms:modified xsi:type="dcterms:W3CDTF">2026-02-24T19:18:28Z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0x0101001F280EE709480C4A814056404C03C755</vt:lpwstr>
  </property>
  <property fmtid="{D5CDD505-2E9C-101B-9397-08002B2CF9AE}" pid="3" name="MediaServiceImageTags">
    <vt:lpwstr/>
  </property>
</Properties>
</file>